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3000" yWindow="645" windowWidth="20730" windowHeight="11760" activeTab="4"/>
  </bookViews>
  <sheets>
    <sheet name="Лист1" sheetId="1" r:id="rId1"/>
    <sheet name="расчет рентабельности" sheetId="4" r:id="rId2"/>
    <sheet name="расчет отпускной цены" sheetId="2" r:id="rId3"/>
    <sheet name="прайс" sheetId="3" r:id="rId4"/>
    <sheet name="прайс для сайта" sheetId="5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"/>
  <c r="B17" i="2" l="1"/>
  <c r="E19"/>
  <c r="C10" i="3" l="1"/>
  <c r="M39" i="1" l="1"/>
  <c r="K39"/>
  <c r="J41" s="1"/>
  <c r="K34"/>
  <c r="F26" i="4"/>
  <c r="K33" i="1"/>
  <c r="D52" i="4"/>
  <c r="D84"/>
  <c r="B38"/>
  <c r="D38"/>
  <c r="K23" i="1"/>
  <c r="K21"/>
  <c r="K28" s="1"/>
  <c r="O37"/>
  <c r="O35"/>
  <c r="O34"/>
  <c r="O33"/>
  <c r="O27"/>
  <c r="O26"/>
  <c r="O24"/>
  <c r="O23"/>
  <c r="O20"/>
  <c r="K37"/>
  <c r="K35"/>
  <c r="K31"/>
  <c r="K30"/>
  <c r="K27"/>
  <c r="K26"/>
  <c r="K22"/>
  <c r="M37"/>
  <c r="O36"/>
  <c r="M36"/>
  <c r="M35"/>
  <c r="M34"/>
  <c r="M31"/>
  <c r="M30"/>
  <c r="K24"/>
  <c r="M24" s="1"/>
  <c r="M22"/>
  <c r="N19"/>
  <c r="O19" s="1"/>
  <c r="P19" s="1"/>
  <c r="L19"/>
  <c r="J19"/>
  <c r="R2" i="4"/>
  <c r="B27"/>
  <c r="A24"/>
  <c r="K41" i="1" l="1"/>
  <c r="J43" s="1"/>
  <c r="O21"/>
  <c r="M23"/>
  <c r="P39"/>
  <c r="P28"/>
  <c r="M27"/>
  <c r="M33"/>
  <c r="O22"/>
  <c r="M26"/>
  <c r="K32"/>
  <c r="M32" s="1"/>
  <c r="D6" i="3"/>
  <c r="AH13" i="1"/>
  <c r="F28" i="4"/>
  <c r="I39"/>
  <c r="I38"/>
  <c r="I41"/>
  <c r="I42"/>
  <c r="I40"/>
  <c r="P46" i="1" l="1"/>
  <c r="P21"/>
  <c r="M28"/>
  <c r="M21"/>
  <c r="R5" i="4"/>
  <c r="L51"/>
  <c r="Q48"/>
  <c r="U48" s="1"/>
  <c r="W48" s="1"/>
  <c r="L47"/>
  <c r="Q42"/>
  <c r="B42"/>
  <c r="F42" s="1"/>
  <c r="B41"/>
  <c r="F41" s="1"/>
  <c r="B40"/>
  <c r="F40" s="1"/>
  <c r="B39"/>
  <c r="F38"/>
  <c r="B36"/>
  <c r="B35"/>
  <c r="I33"/>
  <c r="I35" s="1"/>
  <c r="V36" s="1"/>
  <c r="N32"/>
  <c r="B32"/>
  <c r="F32" s="1"/>
  <c r="L31"/>
  <c r="B31"/>
  <c r="F31" s="1"/>
  <c r="P30"/>
  <c r="P29"/>
  <c r="B29"/>
  <c r="P28"/>
  <c r="Q28" s="1"/>
  <c r="P27"/>
  <c r="Q27" s="1"/>
  <c r="K27"/>
  <c r="P26"/>
  <c r="Q26" s="1"/>
  <c r="P25"/>
  <c r="Q25" s="1"/>
  <c r="R24"/>
  <c r="P24"/>
  <c r="D41"/>
  <c r="P23"/>
  <c r="Q23" s="1"/>
  <c r="P22"/>
  <c r="P21"/>
  <c r="Q21" s="1"/>
  <c r="P20"/>
  <c r="Q20" s="1"/>
  <c r="Q18"/>
  <c r="B17"/>
  <c r="B16"/>
  <c r="B19" s="1"/>
  <c r="F15"/>
  <c r="D15"/>
  <c r="F14"/>
  <c r="D14"/>
  <c r="F13"/>
  <c r="D13"/>
  <c r="F12"/>
  <c r="D12"/>
  <c r="F11"/>
  <c r="D11"/>
  <c r="F10"/>
  <c r="D10"/>
  <c r="F9"/>
  <c r="D9"/>
  <c r="N8"/>
  <c r="F8"/>
  <c r="D8"/>
  <c r="S7"/>
  <c r="R7"/>
  <c r="P7"/>
  <c r="S6"/>
  <c r="R6"/>
  <c r="P6"/>
  <c r="S5"/>
  <c r="P5"/>
  <c r="F5"/>
  <c r="F6" s="1"/>
  <c r="S4"/>
  <c r="R4"/>
  <c r="P4"/>
  <c r="S3"/>
  <c r="R3"/>
  <c r="P3"/>
  <c r="S2"/>
  <c r="P2"/>
  <c r="G12" l="1"/>
  <c r="B26"/>
  <c r="B33" s="1"/>
  <c r="N33"/>
  <c r="N12"/>
  <c r="P17" s="1"/>
  <c r="Q17" s="1"/>
  <c r="Q33" s="1"/>
  <c r="P8"/>
  <c r="P9" s="1"/>
  <c r="F29"/>
  <c r="R8"/>
  <c r="U8"/>
  <c r="D16"/>
  <c r="F16" s="1"/>
  <c r="P35"/>
  <c r="K35" s="1"/>
  <c r="X36" s="1"/>
  <c r="S26"/>
  <c r="D35"/>
  <c r="D39"/>
  <c r="D17"/>
  <c r="F17" s="1"/>
  <c r="D29"/>
  <c r="N35"/>
  <c r="F27"/>
  <c r="D27"/>
  <c r="T8"/>
  <c r="D31"/>
  <c r="D32"/>
  <c r="P33"/>
  <c r="D40"/>
  <c r="B44"/>
  <c r="G44" s="1"/>
  <c r="D28"/>
  <c r="B37"/>
  <c r="D37" s="1"/>
  <c r="F39"/>
  <c r="D42"/>
  <c r="D36"/>
  <c r="N13" l="1"/>
  <c r="P10"/>
  <c r="G51"/>
  <c r="C24"/>
  <c r="E24" s="1"/>
  <c r="F24" s="1"/>
  <c r="G24" s="1"/>
  <c r="C23"/>
  <c r="E23" s="1"/>
  <c r="F23" s="1"/>
  <c r="G23" s="1"/>
  <c r="G33"/>
  <c r="G26" s="1"/>
  <c r="D33"/>
  <c r="D26" s="1"/>
  <c r="B46"/>
  <c r="A46"/>
  <c r="D44"/>
  <c r="Q34"/>
  <c r="Q37" s="1"/>
  <c r="Q45" s="1"/>
  <c r="Q49" s="1"/>
  <c r="V33"/>
  <c r="G4" i="2" l="1"/>
  <c r="G5"/>
  <c r="F8"/>
  <c r="B14"/>
  <c r="G14"/>
  <c r="B15"/>
  <c r="C7"/>
  <c r="C8" s="1"/>
  <c r="A6"/>
  <c r="C16" i="3"/>
  <c r="D10"/>
  <c r="D9"/>
  <c r="C9"/>
  <c r="E8"/>
  <c r="D8"/>
  <c r="G8" s="1"/>
  <c r="C8"/>
  <c r="F8" s="1"/>
  <c r="G7"/>
  <c r="F7"/>
  <c r="E7"/>
  <c r="D7"/>
  <c r="C7"/>
  <c r="C6"/>
  <c r="F5"/>
  <c r="E5"/>
  <c r="D5"/>
  <c r="G5" s="1"/>
  <c r="C5"/>
  <c r="C4"/>
  <c r="AA10" i="1" l="1"/>
  <c r="AI13"/>
  <c r="Z18"/>
  <c r="AA18" s="1"/>
  <c r="Q17"/>
  <c r="F13" l="1"/>
  <c r="F10"/>
  <c r="F11"/>
  <c r="F12"/>
  <c r="T12"/>
  <c r="H10"/>
  <c r="H14"/>
  <c r="H15"/>
  <c r="H16"/>
  <c r="H17"/>
  <c r="H18"/>
  <c r="H19"/>
  <c r="H20"/>
  <c r="H21"/>
  <c r="H9"/>
  <c r="F14"/>
  <c r="F15"/>
  <c r="F16"/>
  <c r="F17"/>
  <c r="F18"/>
  <c r="F19"/>
  <c r="F20"/>
  <c r="F21"/>
  <c r="F9"/>
  <c r="T7"/>
  <c r="U7" s="1"/>
  <c r="T19"/>
  <c r="T18"/>
  <c r="T17"/>
  <c r="T16"/>
  <c r="T15"/>
  <c r="T14"/>
  <c r="T13"/>
  <c r="T11"/>
  <c r="T10"/>
  <c r="T9"/>
  <c r="T8"/>
  <c r="T6"/>
  <c r="T5"/>
  <c r="T4"/>
  <c r="U4"/>
  <c r="AN4" l="1"/>
  <c r="AN5"/>
  <c r="AN6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L4"/>
  <c r="AO4" s="1"/>
  <c r="AP4" s="1"/>
  <c r="AL5"/>
  <c r="AM5" s="1"/>
  <c r="AL6"/>
  <c r="AO6" s="1"/>
  <c r="AP6" s="1"/>
  <c r="AL7"/>
  <c r="AL8"/>
  <c r="AL9"/>
  <c r="AO9" s="1"/>
  <c r="AP9" s="1"/>
  <c r="AL10"/>
  <c r="AO10" s="1"/>
  <c r="AP10" s="1"/>
  <c r="AL11"/>
  <c r="AM11" s="1"/>
  <c r="AL12"/>
  <c r="AL13"/>
  <c r="AO13" s="1"/>
  <c r="AP13" s="1"/>
  <c r="AL14"/>
  <c r="AM14" s="1"/>
  <c r="AL15"/>
  <c r="AM15" s="1"/>
  <c r="AL16"/>
  <c r="AO16" s="1"/>
  <c r="AP16" s="1"/>
  <c r="AL17"/>
  <c r="AO17" s="1"/>
  <c r="AP17" s="1"/>
  <c r="AL18"/>
  <c r="AO18" s="1"/>
  <c r="AP18" s="1"/>
  <c r="AL19"/>
  <c r="AM19" s="1"/>
  <c r="AL20"/>
  <c r="AO20" s="1"/>
  <c r="AP20" s="1"/>
  <c r="AL21"/>
  <c r="AO21" s="1"/>
  <c r="AP21" s="1"/>
  <c r="AL22"/>
  <c r="AL23"/>
  <c r="AM23" s="1"/>
  <c r="AL24"/>
  <c r="AO24" s="1"/>
  <c r="AP24" s="1"/>
  <c r="AL25"/>
  <c r="AO25" s="1"/>
  <c r="AP25" s="1"/>
  <c r="AL26"/>
  <c r="AM26" s="1"/>
  <c r="AL27"/>
  <c r="AM27" s="1"/>
  <c r="AL28"/>
  <c r="AO28" s="1"/>
  <c r="AP28" s="1"/>
  <c r="AL29"/>
  <c r="AO29" s="1"/>
  <c r="AP29" s="1"/>
  <c r="AL30"/>
  <c r="AO30" s="1"/>
  <c r="AP30" s="1"/>
  <c r="AL31"/>
  <c r="AM31" s="1"/>
  <c r="AL3"/>
  <c r="AN3"/>
  <c r="T3"/>
  <c r="U3" s="1"/>
  <c r="AP22" l="1"/>
  <c r="AO22"/>
  <c r="AO3"/>
  <c r="AO7"/>
  <c r="AP7" s="1"/>
  <c r="AO12"/>
  <c r="AP12" s="1"/>
  <c r="AM30"/>
  <c r="AM22"/>
  <c r="AM18"/>
  <c r="AM10"/>
  <c r="AO31"/>
  <c r="AP31" s="1"/>
  <c r="AO23"/>
  <c r="AP23" s="1"/>
  <c r="AO15"/>
  <c r="AP15" s="1"/>
  <c r="AM29"/>
  <c r="AM25"/>
  <c r="AM21"/>
  <c r="AM17"/>
  <c r="AM13"/>
  <c r="AM9"/>
  <c r="AO26"/>
  <c r="AP26" s="1"/>
  <c r="AO14"/>
  <c r="AP14" s="1"/>
  <c r="AO27"/>
  <c r="AP27" s="1"/>
  <c r="AO19"/>
  <c r="AP19" s="1"/>
  <c r="AO11"/>
  <c r="AP11" s="1"/>
  <c r="AP3"/>
  <c r="AO8"/>
  <c r="AP8" s="1"/>
  <c r="AM28"/>
  <c r="AM24"/>
  <c r="AM20"/>
  <c r="AM16"/>
  <c r="AM12"/>
  <c r="AM4"/>
  <c r="AM8"/>
  <c r="AM7"/>
  <c r="AM6"/>
  <c r="AO5"/>
  <c r="AP5" s="1"/>
  <c r="AM3"/>
</calcChain>
</file>

<file path=xl/sharedStrings.xml><?xml version="1.0" encoding="utf-8"?>
<sst xmlns="http://schemas.openxmlformats.org/spreadsheetml/2006/main" count="489" uniqueCount="176">
  <si>
    <t>из морозилки</t>
  </si>
  <si>
    <t>шт</t>
  </si>
  <si>
    <t>кг</t>
  </si>
  <si>
    <t xml:space="preserve">вымерзло </t>
  </si>
  <si>
    <t>оттаело</t>
  </si>
  <si>
    <t>жир</t>
  </si>
  <si>
    <t>сердце</t>
  </si>
  <si>
    <t>желудки</t>
  </si>
  <si>
    <t>кожа с шеи</t>
  </si>
  <si>
    <t>шея</t>
  </si>
  <si>
    <t>маховые крыльев</t>
  </si>
  <si>
    <t xml:space="preserve">кожа </t>
  </si>
  <si>
    <t>жопы</t>
  </si>
  <si>
    <t>№ партии</t>
  </si>
  <si>
    <t>дата</t>
  </si>
  <si>
    <t>13,10,2017</t>
  </si>
  <si>
    <t>9,10,2017</t>
  </si>
  <si>
    <t>на засолку</t>
  </si>
  <si>
    <t>остов</t>
  </si>
  <si>
    <t>кость</t>
  </si>
  <si>
    <t>достали из камеры</t>
  </si>
  <si>
    <t>крылья</t>
  </si>
  <si>
    <t>грудь</t>
  </si>
  <si>
    <t>ноги</t>
  </si>
  <si>
    <t>мясо нарезка</t>
  </si>
  <si>
    <t>кость с ноги</t>
  </si>
  <si>
    <t>цельная</t>
  </si>
  <si>
    <t>нарезка</t>
  </si>
  <si>
    <t>кожа с груди</t>
  </si>
  <si>
    <t>оставшийся %после вяления</t>
  </si>
  <si>
    <t>общий вес после вяления</t>
  </si>
  <si>
    <t>костный остаток</t>
  </si>
  <si>
    <t>общий вес после вяления без костей</t>
  </si>
  <si>
    <t>общий %после вяления без костей</t>
  </si>
  <si>
    <t xml:space="preserve">нарезка с бедра </t>
  </si>
  <si>
    <t>24,10,2017</t>
  </si>
  <si>
    <t>25,10,2017</t>
  </si>
  <si>
    <t>2,11,2017</t>
  </si>
  <si>
    <t>12,11,2017</t>
  </si>
  <si>
    <t>9,11,2,17</t>
  </si>
  <si>
    <t>26,10,2017</t>
  </si>
  <si>
    <t>23.10.2017</t>
  </si>
  <si>
    <t>08.11.2017</t>
  </si>
  <si>
    <t>21.11.2017</t>
  </si>
  <si>
    <t>16.11.2017</t>
  </si>
  <si>
    <t>17.11.17</t>
  </si>
  <si>
    <t>03.11.2017</t>
  </si>
  <si>
    <t>17.11.2017</t>
  </si>
  <si>
    <t>24.11.2017</t>
  </si>
  <si>
    <t>30.11.17</t>
  </si>
  <si>
    <t>нарезка с груди</t>
  </si>
  <si>
    <t>гуси</t>
  </si>
  <si>
    <t>утки</t>
  </si>
  <si>
    <t>печень</t>
  </si>
  <si>
    <t>итого на разделку</t>
  </si>
  <si>
    <t>достали из камеры вяления</t>
  </si>
  <si>
    <t>средн вес</t>
  </si>
  <si>
    <t>15,11,2017</t>
  </si>
  <si>
    <t>22,11,17</t>
  </si>
  <si>
    <t xml:space="preserve">легкие </t>
  </si>
  <si>
    <t>крыло на кочение</t>
  </si>
  <si>
    <t>после копчения</t>
  </si>
  <si>
    <t>сердечки</t>
  </si>
  <si>
    <t>отдали на кочение</t>
  </si>
  <si>
    <t>уток</t>
  </si>
  <si>
    <t>гусь</t>
  </si>
  <si>
    <t>потроха</t>
  </si>
  <si>
    <t>прайс лист</t>
  </si>
  <si>
    <t>наименование</t>
  </si>
  <si>
    <t>диллерская цена кг</t>
  </si>
  <si>
    <t>оптовая цена кг</t>
  </si>
  <si>
    <t>розница кг</t>
  </si>
  <si>
    <t>за 100гр</t>
  </si>
  <si>
    <t>крылья копченые весовой</t>
  </si>
  <si>
    <t>весовая</t>
  </si>
  <si>
    <t xml:space="preserve">желудок копченый </t>
  </si>
  <si>
    <t>грудь цельная</t>
  </si>
  <si>
    <t>грудь нарезка</t>
  </si>
  <si>
    <t>бедро вяленное</t>
  </si>
  <si>
    <t>суп продукты</t>
  </si>
  <si>
    <t>гусь мороженный</t>
  </si>
  <si>
    <t>гусь копченый</t>
  </si>
  <si>
    <t>жир сырой</t>
  </si>
  <si>
    <t>бройлер св мороженный</t>
  </si>
  <si>
    <t>%на усушку</t>
  </si>
  <si>
    <t>печень гусиная</t>
  </si>
  <si>
    <t>гуси копченые</t>
  </si>
  <si>
    <t>сырой</t>
  </si>
  <si>
    <t>за общий вес</t>
  </si>
  <si>
    <t>за копчение</t>
  </si>
  <si>
    <t>руб</t>
  </si>
  <si>
    <t>прибыль</t>
  </si>
  <si>
    <t>утка копченая</t>
  </si>
  <si>
    <t>суп набор</t>
  </si>
  <si>
    <t>цена 1 кг</t>
  </si>
  <si>
    <t>итого</t>
  </si>
  <si>
    <t>с одного гуся гр.</t>
  </si>
  <si>
    <t>кожа</t>
  </si>
  <si>
    <t>??????????</t>
  </si>
  <si>
    <t>руб 1 кг</t>
  </si>
  <si>
    <t>кг один гусь</t>
  </si>
  <si>
    <t>руб если продать сырым</t>
  </si>
  <si>
    <t>маховые крылья</t>
  </si>
  <si>
    <t>руб один гусь</t>
  </si>
  <si>
    <t>кг с партии</t>
  </si>
  <si>
    <t>руб с партии</t>
  </si>
  <si>
    <t>руб с одного гуся</t>
  </si>
  <si>
    <t>за1 кг</t>
  </si>
  <si>
    <t>кожа сшеи</t>
  </si>
  <si>
    <t>надо продавать +лапы и головы</t>
  </si>
  <si>
    <t>руб/за кг</t>
  </si>
  <si>
    <t>с партии</t>
  </si>
  <si>
    <t>руб если продавать по 80 руб без голов илап</t>
  </si>
  <si>
    <t>на одного гуся</t>
  </si>
  <si>
    <t>кг на18 шт</t>
  </si>
  <si>
    <t>руб с одного гуся сырое мясо в среднем</t>
  </si>
  <si>
    <t>с партии если продавать суп наб по 80 руб</t>
  </si>
  <si>
    <t>с одного гуся если продавать суп наб по 80 руб/кг</t>
  </si>
  <si>
    <t>кг без жира на 18 шт</t>
  </si>
  <si>
    <t>руб с одного гуся сырое мясо в среднем без жира</t>
  </si>
  <si>
    <t>на вяление</t>
  </si>
  <si>
    <t>копчение</t>
  </si>
  <si>
    <t>желудки нарезка</t>
  </si>
  <si>
    <t>разница</t>
  </si>
  <si>
    <t>руб на кг</t>
  </si>
  <si>
    <t>вяление</t>
  </si>
  <si>
    <t>с остова</t>
  </si>
  <si>
    <t>если остальное что отдали на засолку</t>
  </si>
  <si>
    <t>%</t>
  </si>
  <si>
    <t>с одного гуся на суп набор</t>
  </si>
  <si>
    <t>нарезка с бедра</t>
  </si>
  <si>
    <t>???????????</t>
  </si>
  <si>
    <t>вес на упаковку</t>
  </si>
  <si>
    <t>одна партия руб</t>
  </si>
  <si>
    <t>один гусь руб</t>
  </si>
  <si>
    <t>на засолку отдали</t>
  </si>
  <si>
    <t>общий вес</t>
  </si>
  <si>
    <t>один гусь вал</t>
  </si>
  <si>
    <t>РУБ</t>
  </si>
  <si>
    <t>прибыль с 1 гуся переработка</t>
  </si>
  <si>
    <t>шт в месяц</t>
  </si>
  <si>
    <t>КГ</t>
  </si>
  <si>
    <t>итого костей</t>
  </si>
  <si>
    <t>руб в месяц</t>
  </si>
  <si>
    <t>мясо нарезка с остова</t>
  </si>
  <si>
    <t>расходы</t>
  </si>
  <si>
    <t>упаковок</t>
  </si>
  <si>
    <t>зарплата</t>
  </si>
  <si>
    <t>электроэнергия</t>
  </si>
  <si>
    <t>упаковок на одного гуся</t>
  </si>
  <si>
    <t>упаковка</t>
  </si>
  <si>
    <t>бензин</t>
  </si>
  <si>
    <t>в месяц</t>
  </si>
  <si>
    <t>если оптовая цена</t>
  </si>
  <si>
    <t>20% славиных</t>
  </si>
  <si>
    <t>зарплата славы</t>
  </si>
  <si>
    <t>на руки славе</t>
  </si>
  <si>
    <t>мне на руки в месяц</t>
  </si>
  <si>
    <t>если все вяленное продавать по</t>
  </si>
  <si>
    <t>УТКА МОРОЖЕНАЯ</t>
  </si>
  <si>
    <t>грудь цельная ВЯЛЕНАЯ</t>
  </si>
  <si>
    <t>грудь нарезка ВЯЛЕНАЯ</t>
  </si>
  <si>
    <t>нарезка к пиву ВЯЛЕНАЯ</t>
  </si>
  <si>
    <t>филе бедра ВЯЛЕНАЯ</t>
  </si>
  <si>
    <t>8,11,2017</t>
  </si>
  <si>
    <t>нарезка с груди К ПИВУ</t>
  </si>
  <si>
    <t>ПАРТИЯ№2</t>
  </si>
  <si>
    <t>КУДА ДЕЛОСЬ?</t>
  </si>
  <si>
    <t>ЕСЛИ ПРОДАТЬ СЫРЫМ</t>
  </si>
  <si>
    <t>СРЕДНИЙ ВЕС ГУСЯ</t>
  </si>
  <si>
    <t xml:space="preserve">диллерская </t>
  </si>
  <si>
    <t>цена кг</t>
  </si>
  <si>
    <t xml:space="preserve"> цена кг</t>
  </si>
  <si>
    <t>оптовая</t>
  </si>
  <si>
    <t>диллерская  цена</t>
  </si>
  <si>
    <t>розница цена кг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</si>
</sst>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2" xfId="0" applyBorder="1"/>
    <xf numFmtId="0" fontId="0" fillId="4" borderId="0" xfId="0" applyFill="1"/>
    <xf numFmtId="0" fontId="0" fillId="3" borderId="0" xfId="0" applyFill="1"/>
    <xf numFmtId="0" fontId="0" fillId="3" borderId="13" xfId="0" applyFill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12" xfId="0" applyBorder="1"/>
    <xf numFmtId="0" fontId="0" fillId="3" borderId="0" xfId="0" applyFill="1" applyAlignment="1">
      <alignment vertical="distributed"/>
    </xf>
    <xf numFmtId="0" fontId="0" fillId="5" borderId="18" xfId="0" applyFill="1" applyBorder="1"/>
    <xf numFmtId="0" fontId="0" fillId="5" borderId="19" xfId="0" applyFill="1" applyBorder="1"/>
    <xf numFmtId="0" fontId="0" fillId="5" borderId="18" xfId="0" applyFill="1" applyBorder="1" applyAlignment="1">
      <alignment vertical="distributed"/>
    </xf>
    <xf numFmtId="0" fontId="0" fillId="0" borderId="13" xfId="0" applyBorder="1"/>
    <xf numFmtId="0" fontId="0" fillId="6" borderId="1" xfId="0" applyFill="1" applyBorder="1"/>
    <xf numFmtId="0" fontId="0" fillId="0" borderId="16" xfId="0" applyBorder="1"/>
    <xf numFmtId="0" fontId="0" fillId="5" borderId="22" xfId="0" applyFill="1" applyBorder="1"/>
    <xf numFmtId="0" fontId="0" fillId="5" borderId="23" xfId="0" applyFill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5" borderId="29" xfId="0" applyFill="1" applyBorder="1"/>
    <xf numFmtId="0" fontId="0" fillId="5" borderId="30" xfId="0" applyFill="1" applyBorder="1"/>
    <xf numFmtId="0" fontId="0" fillId="4" borderId="24" xfId="0" applyFill="1" applyBorder="1"/>
    <xf numFmtId="0" fontId="0" fillId="4" borderId="26" xfId="0" applyFill="1" applyBorder="1"/>
    <xf numFmtId="0" fontId="0" fillId="4" borderId="27" xfId="0" applyFill="1" applyBorder="1"/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2" borderId="4" xfId="1" applyFill="1" applyBorder="1" applyAlignment="1">
      <alignment horizontal="center" vertical="distributed"/>
    </xf>
    <xf numFmtId="0" fontId="1" fillId="2" borderId="6" xfId="1" applyFill="1" applyBorder="1" applyAlignment="1">
      <alignment horizontal="center" vertical="distributed"/>
    </xf>
    <xf numFmtId="14" fontId="0" fillId="0" borderId="1" xfId="0" applyNumberFormat="1" applyBorder="1"/>
    <xf numFmtId="0" fontId="0" fillId="0" borderId="31" xfId="0" applyFill="1" applyBorder="1"/>
    <xf numFmtId="14" fontId="0" fillId="0" borderId="0" xfId="0" applyNumberFormat="1"/>
    <xf numFmtId="0" fontId="0" fillId="0" borderId="31" xfId="0" applyBorder="1"/>
    <xf numFmtId="0" fontId="0" fillId="0" borderId="0" xfId="0" applyNumberFormat="1"/>
    <xf numFmtId="2" fontId="0" fillId="0" borderId="1" xfId="0" applyNumberFormat="1" applyBorder="1"/>
    <xf numFmtId="0" fontId="0" fillId="0" borderId="1" xfId="0" applyFill="1" applyBorder="1"/>
    <xf numFmtId="2" fontId="0" fillId="0" borderId="0" xfId="0" applyNumberFormat="1"/>
    <xf numFmtId="0" fontId="0" fillId="0" borderId="0" xfId="0" applyFill="1" applyBorder="1"/>
    <xf numFmtId="0" fontId="0" fillId="0" borderId="8" xfId="0" applyBorder="1"/>
    <xf numFmtId="0" fontId="0" fillId="0" borderId="33" xfId="0" applyBorder="1"/>
    <xf numFmtId="0" fontId="0" fillId="0" borderId="9" xfId="0" applyBorder="1"/>
    <xf numFmtId="0" fontId="2" fillId="0" borderId="20" xfId="0" applyFont="1" applyBorder="1"/>
    <xf numFmtId="0" fontId="0" fillId="0" borderId="0" xfId="0" applyBorder="1"/>
    <xf numFmtId="0" fontId="0" fillId="0" borderId="17" xfId="0" applyBorder="1"/>
    <xf numFmtId="10" fontId="0" fillId="0" borderId="0" xfId="0" applyNumberFormat="1"/>
    <xf numFmtId="0" fontId="3" fillId="2" borderId="20" xfId="1" applyFont="1" applyFill="1" applyBorder="1" applyAlignment="1"/>
    <xf numFmtId="0" fontId="0" fillId="7" borderId="0" xfId="0" applyFill="1"/>
    <xf numFmtId="0" fontId="2" fillId="2" borderId="20" xfId="0" applyFont="1" applyFill="1" applyBorder="1"/>
    <xf numFmtId="0" fontId="4" fillId="7" borderId="1" xfId="0" applyFont="1" applyFill="1" applyBorder="1"/>
    <xf numFmtId="0" fontId="0" fillId="7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0" fontId="2" fillId="2" borderId="10" xfId="0" applyFont="1" applyFill="1" applyBorder="1"/>
    <xf numFmtId="0" fontId="0" fillId="0" borderId="34" xfId="0" applyBorder="1"/>
    <xf numFmtId="0" fontId="0" fillId="0" borderId="11" xfId="0" applyBorder="1"/>
    <xf numFmtId="0" fontId="1" fillId="3" borderId="35" xfId="1" applyFill="1" applyBorder="1" applyAlignment="1"/>
    <xf numFmtId="0" fontId="1" fillId="2" borderId="36" xfId="1" applyFill="1" applyBorder="1" applyAlignment="1"/>
    <xf numFmtId="0" fontId="0" fillId="2" borderId="37" xfId="0" applyFill="1" applyBorder="1"/>
    <xf numFmtId="0" fontId="1" fillId="2" borderId="37" xfId="1" applyFill="1" applyBorder="1" applyAlignment="1">
      <alignment horizontal="center"/>
    </xf>
    <xf numFmtId="0" fontId="1" fillId="2" borderId="37" xfId="1" applyFill="1" applyBorder="1" applyAlignment="1"/>
    <xf numFmtId="0" fontId="0" fillId="2" borderId="38" xfId="0" applyFill="1" applyBorder="1"/>
    <xf numFmtId="0" fontId="0" fillId="2" borderId="31" xfId="0" applyFill="1" applyBorder="1"/>
    <xf numFmtId="0" fontId="0" fillId="3" borderId="39" xfId="0" applyFill="1" applyBorder="1"/>
    <xf numFmtId="0" fontId="0" fillId="4" borderId="0" xfId="0" applyFill="1" applyBorder="1"/>
    <xf numFmtId="0" fontId="0" fillId="4" borderId="37" xfId="0" applyFill="1" applyBorder="1"/>
    <xf numFmtId="0" fontId="0" fillId="3" borderId="0" xfId="0" applyFill="1" applyBorder="1"/>
    <xf numFmtId="0" fontId="0" fillId="4" borderId="30" xfId="0" applyFill="1" applyBorder="1"/>
    <xf numFmtId="0" fontId="0" fillId="6" borderId="0" xfId="0" applyFill="1"/>
    <xf numFmtId="0" fontId="5" fillId="2" borderId="1" xfId="0" applyFont="1" applyFill="1" applyBorder="1"/>
    <xf numFmtId="0" fontId="2" fillId="0" borderId="1" xfId="0" applyFont="1" applyBorder="1"/>
    <xf numFmtId="0" fontId="0" fillId="4" borderId="1" xfId="0" applyFill="1" applyBorder="1"/>
    <xf numFmtId="0" fontId="2" fillId="0" borderId="31" xfId="0" applyFont="1" applyFill="1" applyBorder="1"/>
    <xf numFmtId="0" fontId="2" fillId="0" borderId="0" xfId="0" applyFont="1"/>
    <xf numFmtId="9" fontId="0" fillId="0" borderId="0" xfId="0" applyNumberFormat="1"/>
    <xf numFmtId="0" fontId="0" fillId="2" borderId="1" xfId="0" applyFill="1" applyBorder="1"/>
    <xf numFmtId="0" fontId="0" fillId="5" borderId="1" xfId="0" applyFill="1" applyBorder="1"/>
    <xf numFmtId="2" fontId="0" fillId="4" borderId="1" xfId="0" applyNumberFormat="1" applyFill="1" applyBorder="1"/>
    <xf numFmtId="2" fontId="0" fillId="0" borderId="0" xfId="0" applyNumberFormat="1" applyBorder="1"/>
    <xf numFmtId="2" fontId="0" fillId="0" borderId="5" xfId="0" applyNumberFormat="1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1" xfId="0" applyFont="1" applyBorder="1"/>
    <xf numFmtId="0" fontId="6" fillId="4" borderId="1" xfId="0" applyFont="1" applyFill="1" applyBorder="1"/>
    <xf numFmtId="0" fontId="6" fillId="0" borderId="1" xfId="0" applyFont="1" applyFill="1" applyBorder="1"/>
    <xf numFmtId="0" fontId="0" fillId="4" borderId="1" xfId="0" applyFill="1" applyBorder="1" applyAlignment="1">
      <alignment horizontal="center" vertical="distributed"/>
    </xf>
    <xf numFmtId="0" fontId="0" fillId="4" borderId="0" xfId="0" applyFill="1" applyBorder="1" applyAlignment="1">
      <alignment horizontal="center" vertical="distributed"/>
    </xf>
    <xf numFmtId="0" fontId="0" fillId="4" borderId="7" xfId="0" applyFill="1" applyBorder="1" applyAlignment="1">
      <alignment horizontal="center" vertical="distributed"/>
    </xf>
    <xf numFmtId="0" fontId="0" fillId="6" borderId="20" xfId="0" applyFill="1" applyBorder="1" applyAlignment="1">
      <alignment horizontal="center" vertical="distributed"/>
    </xf>
    <xf numFmtId="0" fontId="0" fillId="6" borderId="21" xfId="0" applyFill="1" applyBorder="1" applyAlignment="1">
      <alignment horizontal="center" vertical="distributed"/>
    </xf>
    <xf numFmtId="0" fontId="0" fillId="4" borderId="18" xfId="0" applyFill="1" applyBorder="1" applyAlignment="1">
      <alignment horizontal="center" vertical="distributed"/>
    </xf>
    <xf numFmtId="0" fontId="0" fillId="4" borderId="19" xfId="0" applyFill="1" applyBorder="1" applyAlignment="1">
      <alignment horizontal="center" vertical="distributed"/>
    </xf>
    <xf numFmtId="0" fontId="0" fillId="4" borderId="20" xfId="0" applyFill="1" applyBorder="1" applyAlignment="1">
      <alignment horizontal="center" vertical="distributed"/>
    </xf>
    <xf numFmtId="0" fontId="0" fillId="4" borderId="11" xfId="0" applyFill="1" applyBorder="1" applyAlignment="1">
      <alignment horizontal="center" vertical="distributed"/>
    </xf>
    <xf numFmtId="0" fontId="0" fillId="5" borderId="18" xfId="0" applyFill="1" applyBorder="1" applyAlignment="1">
      <alignment horizontal="center" vertical="distributed"/>
    </xf>
    <xf numFmtId="0" fontId="0" fillId="5" borderId="19" xfId="0" applyFill="1" applyBorder="1" applyAlignment="1">
      <alignment horizontal="center" vertical="distributed"/>
    </xf>
    <xf numFmtId="0" fontId="0" fillId="2" borderId="4" xfId="0" applyFill="1" applyBorder="1" applyAlignment="1">
      <alignment horizontal="center" vertical="distributed"/>
    </xf>
    <xf numFmtId="0" fontId="0" fillId="2" borderId="6" xfId="0" applyFill="1" applyBorder="1" applyAlignment="1">
      <alignment horizontal="center" vertical="distributed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4" borderId="17" xfId="0" applyFill="1" applyBorder="1" applyAlignment="1">
      <alignment horizontal="center" vertical="distributed"/>
    </xf>
    <xf numFmtId="0" fontId="0" fillId="5" borderId="0" xfId="0" applyFill="1" applyAlignment="1">
      <alignment horizontal="center"/>
    </xf>
    <xf numFmtId="0" fontId="0" fillId="5" borderId="8" xfId="0" applyFill="1" applyBorder="1" applyAlignment="1">
      <alignment horizontal="center" vertical="distributed"/>
    </xf>
    <xf numFmtId="0" fontId="0" fillId="5" borderId="10" xfId="0" applyFill="1" applyBorder="1" applyAlignment="1">
      <alignment horizontal="center" vertical="distributed"/>
    </xf>
    <xf numFmtId="0" fontId="1" fillId="2" borderId="4" xfId="1" applyFill="1" applyBorder="1" applyAlignment="1">
      <alignment horizontal="center"/>
    </xf>
    <xf numFmtId="0" fontId="1" fillId="2" borderId="6" xfId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2" borderId="4" xfId="1" applyFill="1" applyBorder="1" applyAlignment="1">
      <alignment horizontal="center" vertical="distributed"/>
    </xf>
    <xf numFmtId="0" fontId="1" fillId="2" borderId="6" xfId="1" applyFill="1" applyBorder="1" applyAlignment="1">
      <alignment horizontal="center" vertical="distributed"/>
    </xf>
    <xf numFmtId="0" fontId="1" fillId="2" borderId="32" xfId="1" applyFill="1" applyBorder="1" applyAlignment="1">
      <alignment horizontal="center" vertical="distributed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P46"/>
  <sheetViews>
    <sheetView topLeftCell="A13" zoomScale="115" zoomScaleNormal="115" workbookViewId="0">
      <selection activeCell="H43" sqref="H43"/>
    </sheetView>
  </sheetViews>
  <sheetFormatPr defaultRowHeight="15"/>
  <cols>
    <col min="1" max="2" width="11.85546875" customWidth="1"/>
    <col min="4" max="4" width="8" customWidth="1"/>
    <col min="7" max="7" width="10.42578125" customWidth="1"/>
    <col min="10" max="10" width="17" customWidth="1"/>
    <col min="11" max="11" width="10.28515625" bestFit="1" customWidth="1"/>
    <col min="14" max="14" width="8.28515625" customWidth="1"/>
    <col min="16" max="17" width="9.28515625" customWidth="1"/>
    <col min="18" max="18" width="7.5703125" customWidth="1"/>
    <col min="20" max="20" width="12.28515625" customWidth="1"/>
    <col min="22" max="22" width="10.85546875" customWidth="1"/>
    <col min="24" max="25" width="12.42578125" customWidth="1"/>
    <col min="27" max="27" width="10.5703125" customWidth="1"/>
    <col min="41" max="41" width="11.28515625" customWidth="1"/>
    <col min="42" max="42" width="11" customWidth="1"/>
  </cols>
  <sheetData>
    <row r="1" spans="1:42" ht="46.5" customHeight="1" thickTop="1" thickBot="1">
      <c r="A1" t="s">
        <v>14</v>
      </c>
      <c r="C1" t="s">
        <v>13</v>
      </c>
      <c r="D1" s="115" t="s">
        <v>0</v>
      </c>
      <c r="E1" s="115"/>
      <c r="F1" s="32" t="s">
        <v>56</v>
      </c>
      <c r="G1" s="115" t="s">
        <v>3</v>
      </c>
      <c r="H1" s="115" t="s">
        <v>4</v>
      </c>
      <c r="I1" s="32"/>
      <c r="J1" s="113" t="s">
        <v>5</v>
      </c>
      <c r="K1" s="113" t="s">
        <v>6</v>
      </c>
      <c r="L1" s="113" t="s">
        <v>7</v>
      </c>
      <c r="M1" s="118" t="s">
        <v>59</v>
      </c>
      <c r="N1" s="117" t="s">
        <v>8</v>
      </c>
      <c r="O1" s="113" t="s">
        <v>9</v>
      </c>
      <c r="P1" s="117" t="s">
        <v>10</v>
      </c>
      <c r="Q1" s="34"/>
      <c r="R1" s="113" t="s">
        <v>11</v>
      </c>
      <c r="S1" s="113" t="s">
        <v>12</v>
      </c>
      <c r="T1" s="105" t="s">
        <v>54</v>
      </c>
      <c r="U1" s="13" t="s">
        <v>17</v>
      </c>
      <c r="V1" s="109" t="s">
        <v>55</v>
      </c>
      <c r="W1" s="107" t="s">
        <v>18</v>
      </c>
      <c r="X1" s="108"/>
      <c r="Y1" s="99" t="s">
        <v>20</v>
      </c>
      <c r="Z1" s="14" t="s">
        <v>21</v>
      </c>
      <c r="AA1" s="99" t="s">
        <v>20</v>
      </c>
      <c r="AB1" s="110" t="s">
        <v>22</v>
      </c>
      <c r="AC1" s="110"/>
      <c r="AD1" s="99" t="s">
        <v>20</v>
      </c>
      <c r="AE1" s="14" t="s">
        <v>23</v>
      </c>
      <c r="AF1" s="16" t="s">
        <v>50</v>
      </c>
      <c r="AG1" s="16" t="s">
        <v>34</v>
      </c>
      <c r="AH1" s="16" t="s">
        <v>7</v>
      </c>
      <c r="AI1" s="16" t="s">
        <v>62</v>
      </c>
      <c r="AJ1" s="103" t="s">
        <v>25</v>
      </c>
      <c r="AK1" s="111" t="s">
        <v>28</v>
      </c>
      <c r="AL1" s="94" t="s">
        <v>30</v>
      </c>
      <c r="AM1" s="94" t="s">
        <v>29</v>
      </c>
      <c r="AN1" s="94" t="s">
        <v>31</v>
      </c>
      <c r="AO1" s="95" t="s">
        <v>32</v>
      </c>
      <c r="AP1" s="97" t="s">
        <v>33</v>
      </c>
    </row>
    <row r="2" spans="1:42" ht="46.5" thickTop="1" thickBot="1">
      <c r="D2" s="2" t="s">
        <v>1</v>
      </c>
      <c r="E2" s="2" t="s">
        <v>2</v>
      </c>
      <c r="F2" s="2"/>
      <c r="G2" s="116"/>
      <c r="H2" s="116"/>
      <c r="I2" s="33" t="s">
        <v>53</v>
      </c>
      <c r="J2" s="114"/>
      <c r="K2" s="114"/>
      <c r="L2" s="114"/>
      <c r="M2" s="119"/>
      <c r="N2" s="118"/>
      <c r="O2" s="114"/>
      <c r="P2" s="118"/>
      <c r="Q2" s="35" t="s">
        <v>60</v>
      </c>
      <c r="R2" s="114"/>
      <c r="S2" s="114"/>
      <c r="T2" s="106"/>
      <c r="U2" s="7"/>
      <c r="V2" s="109"/>
      <c r="W2" s="27" t="s">
        <v>19</v>
      </c>
      <c r="X2" s="28" t="s">
        <v>24</v>
      </c>
      <c r="Y2" s="100"/>
      <c r="Z2" s="15"/>
      <c r="AA2" s="101"/>
      <c r="AB2" s="20" t="s">
        <v>26</v>
      </c>
      <c r="AC2" s="21" t="s">
        <v>27</v>
      </c>
      <c r="AD2" s="102"/>
      <c r="AE2" s="15"/>
      <c r="AF2" s="15"/>
      <c r="AG2" s="15"/>
      <c r="AH2" s="15" t="s">
        <v>61</v>
      </c>
      <c r="AI2" s="15"/>
      <c r="AJ2" s="104"/>
      <c r="AK2" s="112"/>
      <c r="AL2" s="94"/>
      <c r="AM2" s="94"/>
      <c r="AN2" s="94"/>
      <c r="AO2" s="96"/>
      <c r="AP2" s="98"/>
    </row>
    <row r="3" spans="1:42">
      <c r="A3" s="1" t="s">
        <v>16</v>
      </c>
      <c r="B3" s="1" t="s">
        <v>51</v>
      </c>
      <c r="C3" s="1">
        <v>1</v>
      </c>
      <c r="D3" s="1">
        <v>18</v>
      </c>
      <c r="E3" s="1">
        <v>48.134999999999998</v>
      </c>
      <c r="F3" s="1"/>
      <c r="G3" s="1"/>
      <c r="H3" s="1"/>
      <c r="I3" s="1"/>
      <c r="J3" s="1">
        <v>2.0150000000000001</v>
      </c>
      <c r="K3" s="1">
        <v>0.69499999999999995</v>
      </c>
      <c r="L3" s="1">
        <v>2.5049999999999999</v>
      </c>
      <c r="M3" s="1"/>
      <c r="N3" s="1">
        <v>1.8</v>
      </c>
      <c r="O3" s="1">
        <v>3.55</v>
      </c>
      <c r="P3" s="1">
        <v>1.0649999999999999</v>
      </c>
      <c r="Q3" s="1"/>
      <c r="R3" s="1">
        <v>3.5819999999999999</v>
      </c>
      <c r="S3" s="1">
        <v>1.2849999999999999</v>
      </c>
      <c r="T3" s="5">
        <f>SUM(G3:S3)</f>
        <v>16.497</v>
      </c>
      <c r="U3" s="8">
        <f>E3-T3</f>
        <v>31.637999999999998</v>
      </c>
      <c r="V3" s="29" t="s">
        <v>16</v>
      </c>
      <c r="W3" s="23">
        <v>3.84</v>
      </c>
      <c r="X3" s="10">
        <v>2.2450000000000001</v>
      </c>
      <c r="Y3" s="4" t="s">
        <v>35</v>
      </c>
      <c r="Z3" s="4">
        <v>4.1319999999999997</v>
      </c>
      <c r="AA3" s="22" t="s">
        <v>36</v>
      </c>
      <c r="AB3" s="23">
        <v>1.08</v>
      </c>
      <c r="AC3" s="10">
        <v>2.1640000000000001</v>
      </c>
      <c r="AD3" t="s">
        <v>37</v>
      </c>
      <c r="AE3" s="5">
        <v>5.56</v>
      </c>
      <c r="AF3" s="5">
        <v>0.27400000000000002</v>
      </c>
      <c r="AG3" s="5">
        <v>4.6959999999999997</v>
      </c>
      <c r="AH3" s="5"/>
      <c r="AI3" s="5"/>
      <c r="AJ3" s="5">
        <v>1.5840000000000001</v>
      </c>
      <c r="AK3" s="5">
        <v>0.254</v>
      </c>
      <c r="AL3" s="1">
        <f>SUM(W3:AK3)</f>
        <v>25.829000000000001</v>
      </c>
      <c r="AM3" s="17">
        <f>AL3*100/U3</f>
        <v>81.639168089006901</v>
      </c>
      <c r="AN3" s="1">
        <f>AJ3+W3</f>
        <v>5.4239999999999995</v>
      </c>
      <c r="AO3" s="1">
        <f>AL3-AN3</f>
        <v>20.405000000000001</v>
      </c>
      <c r="AP3" s="18">
        <f>AO3*100/U3</f>
        <v>64.495227258360202</v>
      </c>
    </row>
    <row r="4" spans="1:42">
      <c r="A4" s="1" t="s">
        <v>15</v>
      </c>
      <c r="B4" s="1" t="s">
        <v>51</v>
      </c>
      <c r="C4" s="1">
        <v>2</v>
      </c>
      <c r="D4" s="5">
        <v>21</v>
      </c>
      <c r="E4" s="5">
        <v>61.46</v>
      </c>
      <c r="F4" s="5"/>
      <c r="G4" s="5"/>
      <c r="H4" s="5">
        <v>0.87</v>
      </c>
      <c r="I4" s="5"/>
      <c r="J4" s="5">
        <v>1.7849999999999999</v>
      </c>
      <c r="K4" s="5">
        <v>0.57999999999999996</v>
      </c>
      <c r="L4" s="5">
        <v>2.3650000000000002</v>
      </c>
      <c r="M4" s="5"/>
      <c r="N4" s="5">
        <v>1.79</v>
      </c>
      <c r="O4" s="5">
        <v>3.4049999999999998</v>
      </c>
      <c r="P4" s="5">
        <v>0.95</v>
      </c>
      <c r="Q4" s="5"/>
      <c r="R4" s="5">
        <v>5.0250000000000004</v>
      </c>
      <c r="S4" s="5">
        <v>1.08</v>
      </c>
      <c r="T4" s="5">
        <f>SUM(G4:S4)</f>
        <v>17.850000000000001</v>
      </c>
      <c r="U4" s="8">
        <f>E4-T4</f>
        <v>43.61</v>
      </c>
      <c r="V4" s="30" t="s">
        <v>40</v>
      </c>
      <c r="W4" s="1">
        <v>4.7</v>
      </c>
      <c r="X4" s="11">
        <v>2.2000000000000002</v>
      </c>
      <c r="Y4" s="19" t="s">
        <v>38</v>
      </c>
      <c r="Z4" s="19">
        <v>4.1749999999999998</v>
      </c>
      <c r="AA4" s="24" t="s">
        <v>39</v>
      </c>
      <c r="AB4" s="1">
        <v>2.6040000000000001</v>
      </c>
      <c r="AC4" s="11">
        <v>1.6</v>
      </c>
      <c r="AD4" s="9" t="s">
        <v>38</v>
      </c>
      <c r="AE4" s="1">
        <v>6.83</v>
      </c>
      <c r="AF4" s="1">
        <v>0.91600000000000004</v>
      </c>
      <c r="AG4" s="1">
        <v>4.51</v>
      </c>
      <c r="AH4" s="1"/>
      <c r="AI4" s="1"/>
      <c r="AJ4" s="1">
        <v>1.6439999999999999</v>
      </c>
      <c r="AK4" s="1"/>
      <c r="AL4" s="1">
        <f t="shared" ref="AL4:AL31" si="0">SUM(W4:AK4)</f>
        <v>29.178999999999995</v>
      </c>
      <c r="AM4" s="17">
        <f t="shared" ref="AM4:AM31" si="1">AL4*100/U4</f>
        <v>66.90896583352442</v>
      </c>
      <c r="AN4" s="1">
        <f t="shared" ref="AN4:AN32" si="2">AJ4+W4</f>
        <v>6.3440000000000003</v>
      </c>
      <c r="AO4" s="1">
        <f t="shared" ref="AO4:AO31" si="3">AL4-AN4</f>
        <v>22.834999999999994</v>
      </c>
      <c r="AP4" s="18">
        <f t="shared" ref="AP4:AP31" si="4">AO4*100/U4</f>
        <v>52.361843613850027</v>
      </c>
    </row>
    <row r="5" spans="1:42">
      <c r="A5" s="1" t="s">
        <v>41</v>
      </c>
      <c r="B5" s="1" t="s">
        <v>51</v>
      </c>
      <c r="C5" s="1">
        <v>3</v>
      </c>
      <c r="D5" s="1">
        <v>40</v>
      </c>
      <c r="E5" s="1">
        <v>121.22499999999999</v>
      </c>
      <c r="F5" s="1"/>
      <c r="G5" s="1"/>
      <c r="H5" s="1"/>
      <c r="I5" s="1"/>
      <c r="J5" s="1">
        <v>3.62</v>
      </c>
      <c r="K5" s="1">
        <v>1.18</v>
      </c>
      <c r="L5" s="1">
        <v>4.93</v>
      </c>
      <c r="M5" s="1"/>
      <c r="N5" s="1">
        <v>9.58</v>
      </c>
      <c r="O5" s="1">
        <v>6.7450000000000001</v>
      </c>
      <c r="P5" s="1">
        <v>2.0099999999999998</v>
      </c>
      <c r="Q5" s="1"/>
      <c r="R5" s="1"/>
      <c r="S5" s="1">
        <v>2.5299999999999998</v>
      </c>
      <c r="T5" s="1">
        <f t="shared" ref="T5:T19" si="5">SUM(J5:S5)</f>
        <v>30.595000000000006</v>
      </c>
      <c r="U5" s="8">
        <v>87.234999999999999</v>
      </c>
      <c r="V5" s="30" t="s">
        <v>42</v>
      </c>
      <c r="W5" s="1">
        <v>8.2550000000000008</v>
      </c>
      <c r="X5" s="11">
        <v>0.7</v>
      </c>
      <c r="Y5" s="19" t="s">
        <v>43</v>
      </c>
      <c r="Z5" s="19">
        <v>8.94</v>
      </c>
      <c r="AA5" s="24" t="s">
        <v>44</v>
      </c>
      <c r="AB5" s="1"/>
      <c r="AC5" s="11">
        <v>9.9499999999999993</v>
      </c>
      <c r="AD5" s="9" t="s">
        <v>45</v>
      </c>
      <c r="AE5" s="1">
        <v>12.186</v>
      </c>
      <c r="AF5" s="1"/>
      <c r="AG5" s="1">
        <v>8.6999999999999993</v>
      </c>
      <c r="AH5" s="1"/>
      <c r="AI5" s="1"/>
      <c r="AJ5" s="1">
        <v>3.484</v>
      </c>
      <c r="AK5" s="1">
        <v>0.19600000000000001</v>
      </c>
      <c r="AL5" s="1">
        <f t="shared" si="0"/>
        <v>52.410999999999994</v>
      </c>
      <c r="AM5" s="17">
        <f t="shared" si="1"/>
        <v>60.080243021722929</v>
      </c>
      <c r="AN5" s="1">
        <f t="shared" si="2"/>
        <v>11.739000000000001</v>
      </c>
      <c r="AO5" s="1">
        <f t="shared" si="3"/>
        <v>40.671999999999997</v>
      </c>
      <c r="AP5" s="18">
        <f t="shared" si="4"/>
        <v>46.623488278787185</v>
      </c>
    </row>
    <row r="6" spans="1:42">
      <c r="A6" s="1" t="s">
        <v>46</v>
      </c>
      <c r="B6" s="1" t="s">
        <v>52</v>
      </c>
      <c r="C6" s="1">
        <v>4</v>
      </c>
      <c r="D6" s="1">
        <v>30</v>
      </c>
      <c r="E6" s="1">
        <v>70.265000000000001</v>
      </c>
      <c r="F6" s="1"/>
      <c r="G6" s="1"/>
      <c r="H6" s="1"/>
      <c r="I6" s="1"/>
      <c r="J6" s="1">
        <v>2.0049999999999999</v>
      </c>
      <c r="K6" s="1">
        <v>0.62</v>
      </c>
      <c r="L6" s="1">
        <v>2.6850000000000001</v>
      </c>
      <c r="M6" s="1"/>
      <c r="N6" s="1">
        <v>1.87</v>
      </c>
      <c r="O6" s="1">
        <v>3.415</v>
      </c>
      <c r="P6" s="1">
        <v>0.97</v>
      </c>
      <c r="Q6" s="1"/>
      <c r="R6" s="1">
        <v>11.64</v>
      </c>
      <c r="S6" s="1">
        <v>2.7</v>
      </c>
      <c r="T6" s="1">
        <f t="shared" si="5"/>
        <v>25.905000000000001</v>
      </c>
      <c r="U6" s="8">
        <v>42.69</v>
      </c>
      <c r="V6" s="30" t="s">
        <v>47</v>
      </c>
      <c r="W6" s="1">
        <v>5.81</v>
      </c>
      <c r="X6" s="11">
        <v>0.6</v>
      </c>
      <c r="Y6" s="19" t="s">
        <v>48</v>
      </c>
      <c r="Z6" s="19">
        <v>3.81</v>
      </c>
      <c r="AA6" s="24" t="s">
        <v>48</v>
      </c>
      <c r="AB6" s="1">
        <v>4.7160000000000002</v>
      </c>
      <c r="AC6" s="11">
        <v>2.0699999999999998</v>
      </c>
      <c r="AD6" s="9" t="s">
        <v>49</v>
      </c>
      <c r="AE6" s="1">
        <v>7.3019999999999996</v>
      </c>
      <c r="AF6" s="1"/>
      <c r="AG6" s="1">
        <v>4.5960000000000001</v>
      </c>
      <c r="AH6" s="1"/>
      <c r="AI6" s="1"/>
      <c r="AJ6" s="1">
        <v>1.47</v>
      </c>
      <c r="AK6" s="1"/>
      <c r="AL6" s="1">
        <f t="shared" si="0"/>
        <v>30.373999999999999</v>
      </c>
      <c r="AM6" s="17">
        <f t="shared" si="1"/>
        <v>71.150152260482557</v>
      </c>
      <c r="AN6" s="1">
        <f t="shared" si="2"/>
        <v>7.2799999999999994</v>
      </c>
      <c r="AO6" s="1">
        <f t="shared" si="3"/>
        <v>23.094000000000001</v>
      </c>
      <c r="AP6" s="18">
        <f t="shared" si="4"/>
        <v>54.096978215038654</v>
      </c>
    </row>
    <row r="7" spans="1:42">
      <c r="A7" s="36">
        <v>43045</v>
      </c>
      <c r="B7" s="1" t="s">
        <v>52</v>
      </c>
      <c r="C7" s="1">
        <v>5</v>
      </c>
      <c r="D7" s="1">
        <v>25</v>
      </c>
      <c r="E7" s="1">
        <v>53.76</v>
      </c>
      <c r="F7" s="1"/>
      <c r="G7" s="1"/>
      <c r="H7" s="1"/>
      <c r="I7" s="1">
        <v>1.94</v>
      </c>
      <c r="J7" s="1">
        <v>1.4450000000000001</v>
      </c>
      <c r="K7" s="1">
        <v>0.7</v>
      </c>
      <c r="L7" s="1">
        <v>2.915</v>
      </c>
      <c r="M7" s="1"/>
      <c r="N7" s="1"/>
      <c r="O7" s="1">
        <v>2.9849999999999999</v>
      </c>
      <c r="P7" s="1">
        <v>0.8</v>
      </c>
      <c r="Q7" s="1"/>
      <c r="R7" s="1">
        <v>8.5500000000000007</v>
      </c>
      <c r="S7" s="1">
        <v>2.2949999999999999</v>
      </c>
      <c r="T7" s="1">
        <f t="shared" si="5"/>
        <v>19.690000000000005</v>
      </c>
      <c r="U7" s="8">
        <f>E7-T7</f>
        <v>34.069999999999993</v>
      </c>
      <c r="V7" s="30"/>
      <c r="W7" s="1"/>
      <c r="X7" s="11"/>
      <c r="Y7" s="19"/>
      <c r="Z7" s="19"/>
      <c r="AA7" s="24"/>
      <c r="AB7" s="1"/>
      <c r="AC7" s="11"/>
      <c r="AD7" s="9"/>
      <c r="AE7" s="1"/>
      <c r="AF7" s="1"/>
      <c r="AG7" s="1"/>
      <c r="AH7" s="1"/>
      <c r="AI7" s="1"/>
      <c r="AJ7" s="1"/>
      <c r="AK7" s="1"/>
      <c r="AL7" s="1">
        <f t="shared" si="0"/>
        <v>0</v>
      </c>
      <c r="AM7" s="17">
        <f t="shared" si="1"/>
        <v>0</v>
      </c>
      <c r="AN7" s="1">
        <f t="shared" si="2"/>
        <v>0</v>
      </c>
      <c r="AO7" s="1">
        <f t="shared" si="3"/>
        <v>0</v>
      </c>
      <c r="AP7" s="18">
        <f t="shared" si="4"/>
        <v>0</v>
      </c>
    </row>
    <row r="8" spans="1:42">
      <c r="A8" s="36">
        <v>43046</v>
      </c>
      <c r="B8" s="1" t="s">
        <v>52</v>
      </c>
      <c r="C8" s="1">
        <v>6</v>
      </c>
      <c r="D8" s="1">
        <v>50</v>
      </c>
      <c r="E8" s="1">
        <v>107.395</v>
      </c>
      <c r="F8" s="1"/>
      <c r="G8" s="1"/>
      <c r="H8" s="1"/>
      <c r="I8" s="1">
        <v>2.82</v>
      </c>
      <c r="J8" s="1">
        <v>2.4950000000000001</v>
      </c>
      <c r="K8" s="1">
        <v>0.72</v>
      </c>
      <c r="L8" s="1">
        <v>3.2250000000000001</v>
      </c>
      <c r="M8" s="1"/>
      <c r="N8" s="1"/>
      <c r="O8" s="1">
        <v>5.91</v>
      </c>
      <c r="P8" s="1">
        <v>1.57</v>
      </c>
      <c r="Q8" s="39"/>
      <c r="R8" s="37">
        <v>17.594999999999999</v>
      </c>
      <c r="S8" s="1">
        <v>4.5999999999999996</v>
      </c>
      <c r="T8" s="1">
        <f t="shared" si="5"/>
        <v>36.115000000000002</v>
      </c>
      <c r="U8" s="8"/>
      <c r="V8" s="30"/>
      <c r="W8" s="1"/>
      <c r="X8" s="11"/>
      <c r="Y8" s="19"/>
      <c r="Z8" s="19"/>
      <c r="AA8" s="24"/>
      <c r="AB8" s="1"/>
      <c r="AC8" s="11"/>
      <c r="AD8" s="9"/>
      <c r="AE8" s="1"/>
      <c r="AF8" s="1"/>
      <c r="AG8" s="1"/>
      <c r="AH8" s="1"/>
      <c r="AI8" s="1"/>
      <c r="AJ8" s="1"/>
      <c r="AK8" s="1"/>
      <c r="AL8" s="1">
        <f t="shared" si="0"/>
        <v>0</v>
      </c>
      <c r="AM8" s="17" t="e">
        <f t="shared" si="1"/>
        <v>#DIV/0!</v>
      </c>
      <c r="AN8" s="1">
        <f t="shared" si="2"/>
        <v>0</v>
      </c>
      <c r="AO8" s="1">
        <f t="shared" si="3"/>
        <v>0</v>
      </c>
      <c r="AP8" s="18" t="e">
        <f t="shared" si="4"/>
        <v>#DIV/0!</v>
      </c>
    </row>
    <row r="9" spans="1:42">
      <c r="A9" s="1" t="s">
        <v>164</v>
      </c>
      <c r="B9" s="1" t="s">
        <v>51</v>
      </c>
      <c r="C9" s="1">
        <v>7</v>
      </c>
      <c r="D9" s="1">
        <v>33</v>
      </c>
      <c r="E9" s="1">
        <v>115.035</v>
      </c>
      <c r="F9" s="1">
        <f t="shared" ref="F9:F21" si="6">E9/D9</f>
        <v>3.4859090909090908</v>
      </c>
      <c r="G9" s="1">
        <v>110.985</v>
      </c>
      <c r="H9" s="1">
        <f>E9-G9</f>
        <v>4.0499999999999972</v>
      </c>
      <c r="I9" s="1"/>
      <c r="J9" s="1">
        <v>3.53</v>
      </c>
      <c r="K9" s="1">
        <v>1.1200000000000001</v>
      </c>
      <c r="L9" s="1">
        <v>2.91</v>
      </c>
      <c r="M9" s="1"/>
      <c r="N9" s="1"/>
      <c r="O9" s="1">
        <v>6.28</v>
      </c>
      <c r="P9" s="1">
        <v>1.93</v>
      </c>
      <c r="Q9" s="39"/>
      <c r="R9" s="37">
        <v>10.72</v>
      </c>
      <c r="S9" s="1">
        <v>3.3250000000000002</v>
      </c>
      <c r="T9" s="1">
        <f t="shared" si="5"/>
        <v>29.815000000000001</v>
      </c>
      <c r="U9" s="8"/>
      <c r="V9" s="30"/>
      <c r="W9" s="1"/>
      <c r="X9" s="11"/>
      <c r="Y9" s="19"/>
      <c r="Z9" s="19"/>
      <c r="AA9" s="24"/>
      <c r="AB9" s="1"/>
      <c r="AC9" s="11"/>
      <c r="AD9" s="9"/>
      <c r="AE9" s="1"/>
      <c r="AF9" s="1"/>
      <c r="AG9" s="1"/>
      <c r="AH9" s="1"/>
      <c r="AI9" s="1"/>
      <c r="AJ9" s="1"/>
      <c r="AK9" s="1"/>
      <c r="AL9" s="1">
        <f t="shared" si="0"/>
        <v>0</v>
      </c>
      <c r="AM9" s="17" t="e">
        <f t="shared" si="1"/>
        <v>#DIV/0!</v>
      </c>
      <c r="AN9" s="1">
        <f t="shared" si="2"/>
        <v>0</v>
      </c>
      <c r="AO9" s="1">
        <f t="shared" si="3"/>
        <v>0</v>
      </c>
      <c r="AP9" s="18" t="e">
        <f t="shared" si="4"/>
        <v>#DIV/0!</v>
      </c>
    </row>
    <row r="10" spans="1:42">
      <c r="A10" s="1" t="s">
        <v>57</v>
      </c>
      <c r="B10" s="1" t="s">
        <v>51</v>
      </c>
      <c r="C10" s="1">
        <v>8</v>
      </c>
      <c r="D10" s="1">
        <v>39</v>
      </c>
      <c r="E10" s="1">
        <v>122.795</v>
      </c>
      <c r="F10" s="1">
        <f t="shared" si="6"/>
        <v>3.1485897435897434</v>
      </c>
      <c r="G10" s="1">
        <v>119.13</v>
      </c>
      <c r="H10" s="1">
        <f>E10-G10</f>
        <v>3.6650000000000063</v>
      </c>
      <c r="I10" s="1"/>
      <c r="J10" s="1">
        <v>3.72</v>
      </c>
      <c r="K10" s="1">
        <v>1.18</v>
      </c>
      <c r="L10" s="1">
        <v>4.2300000000000004</v>
      </c>
      <c r="M10" s="1"/>
      <c r="N10" s="1"/>
      <c r="O10" s="1">
        <v>6.3849999999999998</v>
      </c>
      <c r="P10" s="1">
        <v>1.89</v>
      </c>
      <c r="Q10" s="1">
        <v>19.940000000000001</v>
      </c>
      <c r="R10" s="1">
        <v>10.69</v>
      </c>
      <c r="S10" s="1">
        <v>3.97</v>
      </c>
      <c r="T10" s="1">
        <f t="shared" si="5"/>
        <v>52.004999999999995</v>
      </c>
      <c r="U10" s="8"/>
      <c r="V10" s="30"/>
      <c r="W10" s="1"/>
      <c r="X10" s="11"/>
      <c r="Y10" s="19"/>
      <c r="Z10" s="19">
        <v>12.23</v>
      </c>
      <c r="AA10" s="24">
        <f>Z10/Q10*100</f>
        <v>61.334002006018054</v>
      </c>
      <c r="AB10" s="1"/>
      <c r="AC10" s="11"/>
      <c r="AD10" s="9"/>
      <c r="AE10" s="1"/>
      <c r="AF10" s="1"/>
      <c r="AG10" s="1"/>
      <c r="AH10" s="1"/>
      <c r="AI10" s="1"/>
      <c r="AJ10" s="1"/>
      <c r="AK10" s="1"/>
      <c r="AL10" s="1">
        <f t="shared" si="0"/>
        <v>73.564002006018058</v>
      </c>
      <c r="AM10" s="17" t="e">
        <f t="shared" si="1"/>
        <v>#DIV/0!</v>
      </c>
      <c r="AN10" s="1">
        <f t="shared" si="2"/>
        <v>0</v>
      </c>
      <c r="AO10" s="1">
        <f t="shared" si="3"/>
        <v>73.564002006018058</v>
      </c>
      <c r="AP10" s="18" t="e">
        <f t="shared" si="4"/>
        <v>#DIV/0!</v>
      </c>
    </row>
    <row r="11" spans="1:42">
      <c r="A11" s="1" t="s">
        <v>58</v>
      </c>
      <c r="B11" s="1" t="s">
        <v>51</v>
      </c>
      <c r="C11" s="1">
        <v>9</v>
      </c>
      <c r="D11" s="1">
        <v>50</v>
      </c>
      <c r="E11" s="1">
        <v>167.76499999999999</v>
      </c>
      <c r="F11" s="1">
        <f t="shared" si="6"/>
        <v>3.3552999999999997</v>
      </c>
      <c r="G11" s="1">
        <v>166.04</v>
      </c>
      <c r="H11" s="1">
        <v>163.12</v>
      </c>
      <c r="I11" s="1"/>
      <c r="J11" s="1">
        <v>5.0549999999999997</v>
      </c>
      <c r="K11" s="1">
        <v>1.82</v>
      </c>
      <c r="L11" s="1">
        <v>6.17</v>
      </c>
      <c r="M11" s="1"/>
      <c r="N11" s="1"/>
      <c r="O11" s="1">
        <v>8.83</v>
      </c>
      <c r="P11" s="1">
        <v>2.9</v>
      </c>
      <c r="Q11" s="1">
        <v>21.59</v>
      </c>
      <c r="R11" s="1">
        <v>15.11</v>
      </c>
      <c r="S11" s="1">
        <v>4.41</v>
      </c>
      <c r="T11" s="1">
        <f t="shared" si="5"/>
        <v>65.884999999999991</v>
      </c>
      <c r="U11" s="8"/>
      <c r="V11" s="30"/>
      <c r="W11" s="1"/>
      <c r="X11" s="11"/>
      <c r="Y11" s="19"/>
      <c r="Z11" s="19">
        <v>18.43</v>
      </c>
      <c r="AA11" s="24"/>
      <c r="AB11" s="1"/>
      <c r="AC11" s="11"/>
      <c r="AD11" s="9"/>
      <c r="AE11" s="1"/>
      <c r="AF11" s="1"/>
      <c r="AG11" s="1"/>
      <c r="AH11" s="1"/>
      <c r="AI11" s="1"/>
      <c r="AJ11" s="1"/>
      <c r="AK11" s="1"/>
      <c r="AL11" s="1">
        <f t="shared" si="0"/>
        <v>18.43</v>
      </c>
      <c r="AM11" s="17" t="e">
        <f t="shared" si="1"/>
        <v>#DIV/0!</v>
      </c>
      <c r="AN11" s="1">
        <f t="shared" si="2"/>
        <v>0</v>
      </c>
      <c r="AO11" s="1">
        <f t="shared" si="3"/>
        <v>18.43</v>
      </c>
      <c r="AP11" s="18" t="e">
        <f t="shared" si="4"/>
        <v>#DIV/0!</v>
      </c>
    </row>
    <row r="12" spans="1:42">
      <c r="A12" s="36">
        <v>43068</v>
      </c>
      <c r="B12" s="1" t="s">
        <v>51</v>
      </c>
      <c r="C12" s="1">
        <v>10</v>
      </c>
      <c r="D12" s="1">
        <v>50</v>
      </c>
      <c r="E12" s="1">
        <v>145.5</v>
      </c>
      <c r="F12" s="1">
        <f t="shared" si="6"/>
        <v>2.91</v>
      </c>
      <c r="G12" s="1">
        <v>143.655</v>
      </c>
      <c r="H12" s="1">
        <v>136.83500000000001</v>
      </c>
      <c r="I12" s="1"/>
      <c r="J12" s="1">
        <v>3.84</v>
      </c>
      <c r="K12" s="1">
        <v>1.46</v>
      </c>
      <c r="L12" s="1">
        <v>5.73</v>
      </c>
      <c r="M12" s="1">
        <v>1.69</v>
      </c>
      <c r="N12" s="1"/>
      <c r="O12" s="1">
        <v>7.71</v>
      </c>
      <c r="P12" s="1">
        <v>2.17</v>
      </c>
      <c r="Q12" s="1">
        <v>18.23</v>
      </c>
      <c r="R12" s="1">
        <v>11.81</v>
      </c>
      <c r="S12" s="1">
        <v>3.92</v>
      </c>
      <c r="T12" s="1">
        <f t="shared" si="5"/>
        <v>56.56</v>
      </c>
      <c r="U12" s="8"/>
      <c r="V12" s="30"/>
      <c r="W12" s="1"/>
      <c r="X12" s="11"/>
      <c r="Y12" s="19"/>
      <c r="Z12" s="19">
        <v>10.25</v>
      </c>
      <c r="AA12" s="24"/>
      <c r="AB12" s="1"/>
      <c r="AC12" s="11"/>
      <c r="AD12" s="9"/>
      <c r="AE12" s="1"/>
      <c r="AF12" s="1"/>
      <c r="AG12" s="1"/>
      <c r="AH12" s="1">
        <v>3.3559999999999999</v>
      </c>
      <c r="AI12" s="1">
        <v>0.73</v>
      </c>
      <c r="AJ12" s="1"/>
      <c r="AK12" s="1"/>
      <c r="AL12" s="1">
        <f t="shared" si="0"/>
        <v>14.336</v>
      </c>
      <c r="AM12" s="17" t="e">
        <f t="shared" si="1"/>
        <v>#DIV/0!</v>
      </c>
      <c r="AN12" s="1">
        <f t="shared" si="2"/>
        <v>0</v>
      </c>
      <c r="AO12" s="1">
        <f>AL12-AN12</f>
        <v>14.336</v>
      </c>
      <c r="AP12" s="18" t="e">
        <f t="shared" si="4"/>
        <v>#DIV/0!</v>
      </c>
    </row>
    <row r="13" spans="1:42">
      <c r="A13" s="38">
        <v>43074</v>
      </c>
      <c r="B13" s="1" t="s">
        <v>51</v>
      </c>
      <c r="C13" s="1">
        <v>11</v>
      </c>
      <c r="D13" s="1">
        <v>50</v>
      </c>
      <c r="E13" s="1">
        <v>159.97999999999999</v>
      </c>
      <c r="F13" s="1">
        <f t="shared" si="6"/>
        <v>3.1995999999999998</v>
      </c>
      <c r="G13" s="1">
        <v>157.47999999999999</v>
      </c>
      <c r="H13" s="1">
        <v>152.875</v>
      </c>
      <c r="I13" s="1"/>
      <c r="J13" s="1">
        <v>5.44</v>
      </c>
      <c r="K13" s="1">
        <v>1.38</v>
      </c>
      <c r="L13" s="1">
        <v>5.6749999999999998</v>
      </c>
      <c r="M13" s="1">
        <v>2</v>
      </c>
      <c r="N13" s="1"/>
      <c r="O13" s="1">
        <v>8.1850000000000005</v>
      </c>
      <c r="P13" s="1">
        <v>2.19</v>
      </c>
      <c r="Q13" s="1"/>
      <c r="R13" s="1">
        <v>14.164999999999999</v>
      </c>
      <c r="S13" s="1">
        <v>3.72</v>
      </c>
      <c r="T13" s="1">
        <f t="shared" si="5"/>
        <v>42.754999999999995</v>
      </c>
      <c r="U13" s="8"/>
      <c r="V13" s="30"/>
      <c r="W13" s="1"/>
      <c r="X13" s="11"/>
      <c r="Y13" s="19"/>
      <c r="Z13" s="19"/>
      <c r="AA13" s="24"/>
      <c r="AB13" s="1"/>
      <c r="AC13" s="11"/>
      <c r="AD13" s="9"/>
      <c r="AE13" s="1"/>
      <c r="AF13" s="1"/>
      <c r="AG13" s="1"/>
      <c r="AH13" s="1">
        <f>AH12/L12*100</f>
        <v>58.568935427574168</v>
      </c>
      <c r="AI13" s="1">
        <f>AI12/K12*100</f>
        <v>50</v>
      </c>
      <c r="AJ13" s="1"/>
      <c r="AK13" s="1"/>
      <c r="AL13" s="1">
        <f t="shared" si="0"/>
        <v>108.56893542757416</v>
      </c>
      <c r="AM13" s="17" t="e">
        <f t="shared" si="1"/>
        <v>#DIV/0!</v>
      </c>
      <c r="AN13" s="1">
        <f t="shared" si="2"/>
        <v>0</v>
      </c>
      <c r="AO13" s="1">
        <f t="shared" si="3"/>
        <v>108.56893542757416</v>
      </c>
      <c r="AP13" s="18" t="e">
        <f t="shared" si="4"/>
        <v>#DIV/0!</v>
      </c>
    </row>
    <row r="14" spans="1:42">
      <c r="A14" s="1"/>
      <c r="B14" s="1"/>
      <c r="C14" s="1"/>
      <c r="D14" s="1"/>
      <c r="E14" s="1"/>
      <c r="F14" t="e">
        <f t="shared" si="6"/>
        <v>#DIV/0!</v>
      </c>
      <c r="G14" s="1"/>
      <c r="H14" s="1">
        <f t="shared" ref="H14:H21" si="7">E14-G14</f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>
        <f t="shared" si="5"/>
        <v>0</v>
      </c>
      <c r="U14" s="8"/>
      <c r="V14" s="30"/>
      <c r="W14" s="1"/>
      <c r="X14" s="11"/>
      <c r="Y14" s="19"/>
      <c r="Z14" s="19"/>
      <c r="AA14" s="24"/>
      <c r="AB14" s="1"/>
      <c r="AC14" s="11"/>
      <c r="AD14" s="9"/>
      <c r="AE14" s="1"/>
      <c r="AF14" s="1"/>
      <c r="AG14" s="1"/>
      <c r="AH14" s="1"/>
      <c r="AI14" s="1"/>
      <c r="AJ14" s="1"/>
      <c r="AK14" s="1"/>
      <c r="AL14" s="1">
        <f t="shared" si="0"/>
        <v>0</v>
      </c>
      <c r="AM14" s="17" t="e">
        <f t="shared" si="1"/>
        <v>#DIV/0!</v>
      </c>
      <c r="AN14" s="1">
        <f t="shared" si="2"/>
        <v>0</v>
      </c>
      <c r="AO14" s="1">
        <f t="shared" si="3"/>
        <v>0</v>
      </c>
      <c r="AP14" s="18" t="e">
        <f t="shared" si="4"/>
        <v>#DIV/0!</v>
      </c>
    </row>
    <row r="15" spans="1:42">
      <c r="A15" s="1"/>
      <c r="B15" s="1"/>
      <c r="C15" s="1"/>
      <c r="D15" s="1"/>
      <c r="E15" s="1"/>
      <c r="F15" t="e">
        <f t="shared" si="6"/>
        <v>#DIV/0!</v>
      </c>
      <c r="G15" s="1"/>
      <c r="H15" s="1">
        <f t="shared" si="7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>
        <f t="shared" si="5"/>
        <v>0</v>
      </c>
      <c r="U15" s="8"/>
      <c r="V15" s="30"/>
      <c r="W15" s="1"/>
      <c r="X15" s="11"/>
      <c r="Y15" s="19"/>
      <c r="Z15" s="19"/>
      <c r="AA15" s="24"/>
      <c r="AB15" s="1"/>
      <c r="AC15" s="11"/>
      <c r="AD15" s="9"/>
      <c r="AE15" s="1"/>
      <c r="AF15" s="1"/>
      <c r="AG15" s="1"/>
      <c r="AH15" s="1"/>
      <c r="AI15" s="1"/>
      <c r="AJ15" s="1"/>
      <c r="AK15" s="1"/>
      <c r="AL15" s="1">
        <f t="shared" si="0"/>
        <v>0</v>
      </c>
      <c r="AM15" s="17" t="e">
        <f t="shared" si="1"/>
        <v>#DIV/0!</v>
      </c>
      <c r="AN15" s="1">
        <f t="shared" si="2"/>
        <v>0</v>
      </c>
      <c r="AO15" s="1">
        <f t="shared" si="3"/>
        <v>0</v>
      </c>
      <c r="AP15" s="18" t="e">
        <f t="shared" si="4"/>
        <v>#DIV/0!</v>
      </c>
    </row>
    <row r="16" spans="1:42">
      <c r="A16" s="1"/>
      <c r="B16" s="1"/>
      <c r="C16" s="1"/>
      <c r="D16" s="1"/>
      <c r="E16" s="1"/>
      <c r="F16" t="e">
        <f t="shared" si="6"/>
        <v>#DIV/0!</v>
      </c>
      <c r="G16" s="1"/>
      <c r="H16" s="1">
        <f t="shared" si="7"/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>
        <f t="shared" si="5"/>
        <v>0</v>
      </c>
      <c r="U16" s="8"/>
      <c r="V16" s="30"/>
      <c r="W16" s="1"/>
      <c r="X16" s="11"/>
      <c r="Y16" s="19"/>
      <c r="Z16" s="19"/>
      <c r="AA16" s="24"/>
      <c r="AB16" s="1"/>
      <c r="AC16" s="11"/>
      <c r="AD16" s="9"/>
      <c r="AE16" s="1"/>
      <c r="AF16" s="1"/>
      <c r="AG16" s="1"/>
      <c r="AH16" s="1"/>
      <c r="AI16" s="1"/>
      <c r="AJ16" s="1"/>
      <c r="AK16" s="1"/>
      <c r="AL16" s="1">
        <f t="shared" si="0"/>
        <v>0</v>
      </c>
      <c r="AM16" s="17" t="e">
        <f t="shared" si="1"/>
        <v>#DIV/0!</v>
      </c>
      <c r="AN16" s="1">
        <f t="shared" si="2"/>
        <v>0</v>
      </c>
      <c r="AO16" s="1">
        <f t="shared" si="3"/>
        <v>0</v>
      </c>
      <c r="AP16" s="18" t="e">
        <f t="shared" si="4"/>
        <v>#DIV/0!</v>
      </c>
    </row>
    <row r="17" spans="1:42">
      <c r="A17" s="1"/>
      <c r="B17" s="1"/>
      <c r="C17" s="1"/>
      <c r="D17" s="1"/>
      <c r="E17" s="1"/>
      <c r="F17" t="e">
        <f t="shared" si="6"/>
        <v>#DIV/0!</v>
      </c>
      <c r="G17" s="1"/>
      <c r="H17" s="1">
        <f t="shared" si="7"/>
        <v>0</v>
      </c>
      <c r="I17" s="1"/>
      <c r="J17" s="1"/>
      <c r="K17" s="1"/>
      <c r="L17" s="1"/>
      <c r="M17" s="1"/>
      <c r="N17" s="1"/>
      <c r="O17" s="1"/>
      <c r="P17" s="1"/>
      <c r="Q17" s="1">
        <f>SUM(Q11:Q15)</f>
        <v>39.82</v>
      </c>
      <c r="R17" s="1"/>
      <c r="S17" s="1"/>
      <c r="T17" s="1">
        <f t="shared" si="5"/>
        <v>39.82</v>
      </c>
      <c r="U17" s="8"/>
      <c r="V17" s="30"/>
      <c r="W17" s="1"/>
      <c r="X17" s="11"/>
      <c r="Y17" s="19"/>
      <c r="Z17" s="19"/>
      <c r="AA17" s="24"/>
      <c r="AB17" s="1"/>
      <c r="AC17" s="11"/>
      <c r="AD17" s="9"/>
      <c r="AE17" s="1"/>
      <c r="AF17" s="1"/>
      <c r="AG17" s="1"/>
      <c r="AH17" s="1"/>
      <c r="AI17" s="1"/>
      <c r="AJ17" s="1"/>
      <c r="AK17" s="1"/>
      <c r="AL17" s="1">
        <f t="shared" si="0"/>
        <v>0</v>
      </c>
      <c r="AM17" s="17" t="e">
        <f t="shared" si="1"/>
        <v>#DIV/0!</v>
      </c>
      <c r="AN17" s="1">
        <f t="shared" si="2"/>
        <v>0</v>
      </c>
      <c r="AO17" s="1">
        <f t="shared" si="3"/>
        <v>0</v>
      </c>
      <c r="AP17" s="18" t="e">
        <f t="shared" si="4"/>
        <v>#DIV/0!</v>
      </c>
    </row>
    <row r="18" spans="1:42">
      <c r="A18" s="1"/>
      <c r="B18" s="1"/>
      <c r="C18" s="1"/>
      <c r="D18" s="1"/>
      <c r="E18" s="1"/>
      <c r="F18" t="e">
        <f t="shared" si="6"/>
        <v>#DIV/0!</v>
      </c>
      <c r="G18" s="1"/>
      <c r="H18" s="1">
        <f t="shared" si="7"/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>
        <f t="shared" si="5"/>
        <v>0</v>
      </c>
      <c r="U18" s="8"/>
      <c r="V18" s="30"/>
      <c r="W18" s="1"/>
      <c r="X18" s="11"/>
      <c r="Y18" s="19"/>
      <c r="Z18" s="19">
        <f>SUM(Z11:Z16)</f>
        <v>28.68</v>
      </c>
      <c r="AA18" s="24">
        <f>Z18/Q17*100</f>
        <v>72.024108488196887</v>
      </c>
      <c r="AB18" s="1"/>
      <c r="AC18" s="11"/>
      <c r="AD18" s="9"/>
      <c r="AE18" s="1"/>
      <c r="AF18" s="1"/>
      <c r="AG18" s="1"/>
      <c r="AH18" s="1"/>
      <c r="AI18" s="1"/>
      <c r="AJ18" s="1"/>
      <c r="AK18" s="1"/>
      <c r="AL18" s="1">
        <f t="shared" si="0"/>
        <v>100.70410848819688</v>
      </c>
      <c r="AM18" s="17" t="e">
        <f t="shared" si="1"/>
        <v>#DIV/0!</v>
      </c>
      <c r="AN18" s="1">
        <f t="shared" si="2"/>
        <v>0</v>
      </c>
      <c r="AO18" s="1">
        <f t="shared" si="3"/>
        <v>100.70410848819688</v>
      </c>
      <c r="AP18" s="18" t="e">
        <f t="shared" si="4"/>
        <v>#DIV/0!</v>
      </c>
    </row>
    <row r="19" spans="1:42">
      <c r="A19" s="1"/>
      <c r="B19" s="1"/>
      <c r="C19" s="1"/>
      <c r="D19" s="1"/>
      <c r="E19" s="1"/>
      <c r="F19" t="e">
        <f t="shared" si="6"/>
        <v>#DIV/0!</v>
      </c>
      <c r="G19" s="1"/>
      <c r="H19" s="1">
        <f t="shared" si="7"/>
        <v>0</v>
      </c>
      <c r="I19" s="1"/>
      <c r="J19" s="53">
        <f>E4/D4</f>
        <v>2.9266666666666667</v>
      </c>
      <c r="L19">
        <f>K12*M19+M11+M12</f>
        <v>2921.69</v>
      </c>
      <c r="M19">
        <v>2000</v>
      </c>
      <c r="N19" t="e">
        <f>L19-#REF!</f>
        <v>#REF!</v>
      </c>
      <c r="O19" t="e">
        <f>N19/#REF!</f>
        <v>#REF!</v>
      </c>
      <c r="P19" t="e">
        <f>O19*P17</f>
        <v>#REF!</v>
      </c>
      <c r="R19" s="1"/>
      <c r="S19" s="1"/>
      <c r="T19" s="1" t="e">
        <f t="shared" si="5"/>
        <v>#REF!</v>
      </c>
      <c r="U19" s="8"/>
      <c r="V19" s="30"/>
      <c r="W19" s="1"/>
      <c r="X19" s="11"/>
      <c r="Y19" s="19"/>
      <c r="Z19" s="19"/>
      <c r="AA19" s="24"/>
      <c r="AB19" s="1"/>
      <c r="AC19" s="11"/>
      <c r="AD19" s="9"/>
      <c r="AE19" s="1"/>
      <c r="AF19" s="1"/>
      <c r="AG19" s="1"/>
      <c r="AH19" s="1"/>
      <c r="AI19" s="1"/>
      <c r="AJ19" s="1"/>
      <c r="AK19" s="1"/>
      <c r="AL19" s="1">
        <f t="shared" si="0"/>
        <v>0</v>
      </c>
      <c r="AM19" s="17" t="e">
        <f t="shared" si="1"/>
        <v>#DIV/0!</v>
      </c>
      <c r="AN19" s="1">
        <f t="shared" si="2"/>
        <v>0</v>
      </c>
      <c r="AO19" s="1">
        <f t="shared" si="3"/>
        <v>0</v>
      </c>
      <c r="AP19" s="18" t="e">
        <f t="shared" si="4"/>
        <v>#DIV/0!</v>
      </c>
    </row>
    <row r="20" spans="1:42">
      <c r="A20" s="1"/>
      <c r="B20" s="1"/>
      <c r="C20" s="1"/>
      <c r="D20" s="1"/>
      <c r="E20" s="1"/>
      <c r="F20" t="e">
        <f t="shared" si="6"/>
        <v>#DIV/0!</v>
      </c>
      <c r="G20" s="1"/>
      <c r="H20" s="1">
        <f t="shared" si="7"/>
        <v>0</v>
      </c>
      <c r="I20" s="1"/>
      <c r="L20" t="s">
        <v>166</v>
      </c>
      <c r="O20">
        <f>E4*300/D4</f>
        <v>878</v>
      </c>
      <c r="P20" t="s">
        <v>168</v>
      </c>
      <c r="R20" s="1"/>
      <c r="S20" s="1"/>
      <c r="T20" s="1"/>
      <c r="U20" s="8"/>
      <c r="V20" s="30"/>
      <c r="W20" s="1"/>
      <c r="X20" s="11"/>
      <c r="Y20" s="19"/>
      <c r="Z20" s="19"/>
      <c r="AA20" s="24"/>
      <c r="AB20" s="1"/>
      <c r="AC20" s="11"/>
      <c r="AD20" s="9"/>
      <c r="AE20" s="1"/>
      <c r="AF20" s="1"/>
      <c r="AG20" s="1"/>
      <c r="AH20" s="1"/>
      <c r="AI20" s="1"/>
      <c r="AJ20" s="1"/>
      <c r="AK20" s="1"/>
      <c r="AL20" s="1">
        <f t="shared" si="0"/>
        <v>0</v>
      </c>
      <c r="AM20" s="17" t="e">
        <f t="shared" si="1"/>
        <v>#DIV/0!</v>
      </c>
      <c r="AN20" s="1">
        <f t="shared" si="2"/>
        <v>0</v>
      </c>
      <c r="AO20" s="1">
        <f t="shared" si="3"/>
        <v>0</v>
      </c>
      <c r="AP20" s="18" t="e">
        <f t="shared" si="4"/>
        <v>#DIV/0!</v>
      </c>
    </row>
    <row r="21" spans="1:42">
      <c r="A21" s="1"/>
      <c r="B21" s="1"/>
      <c r="C21" s="1"/>
      <c r="D21" s="1"/>
      <c r="E21" s="1"/>
      <c r="F21" t="e">
        <f t="shared" si="6"/>
        <v>#DIV/0!</v>
      </c>
      <c r="G21" s="1"/>
      <c r="H21" s="1">
        <f t="shared" si="7"/>
        <v>0</v>
      </c>
      <c r="I21" s="1"/>
      <c r="J21" s="1"/>
      <c r="K21" s="56">
        <f>SUM(K22:K27)</f>
        <v>0.97976190476190472</v>
      </c>
      <c r="L21" s="1" t="s">
        <v>2</v>
      </c>
      <c r="M21" s="56">
        <f>SUM(M22:M28)</f>
        <v>100</v>
      </c>
      <c r="N21" s="1"/>
      <c r="O21" s="56">
        <f>SUM(O22:O52)</f>
        <v>1636.632380952381</v>
      </c>
      <c r="P21" s="18">
        <f>O23+O26+O27+P28</f>
        <v>2165.4880952380954</v>
      </c>
      <c r="Q21" s="18" t="s">
        <v>127</v>
      </c>
      <c r="R21" s="1"/>
      <c r="S21" s="1"/>
      <c r="T21" s="1"/>
      <c r="U21" s="8"/>
      <c r="V21" s="30"/>
      <c r="W21" s="1"/>
      <c r="X21" s="11"/>
      <c r="Y21" s="19"/>
      <c r="Z21" s="19"/>
      <c r="AA21" s="24"/>
      <c r="AB21" s="1"/>
      <c r="AC21" s="11"/>
      <c r="AD21" s="9"/>
      <c r="AE21" s="1"/>
      <c r="AF21" s="1"/>
      <c r="AG21" s="1"/>
      <c r="AH21" s="1"/>
      <c r="AI21" s="1"/>
      <c r="AJ21" s="1"/>
      <c r="AK21" s="1"/>
      <c r="AL21" s="1">
        <f t="shared" si="0"/>
        <v>0</v>
      </c>
      <c r="AM21" s="17" t="e">
        <f t="shared" si="1"/>
        <v>#DIV/0!</v>
      </c>
      <c r="AN21" s="1">
        <f t="shared" si="2"/>
        <v>0</v>
      </c>
      <c r="AO21" s="1">
        <f t="shared" si="3"/>
        <v>0</v>
      </c>
      <c r="AP21" s="18" t="e">
        <f t="shared" si="4"/>
        <v>#DIV/0!</v>
      </c>
    </row>
    <row r="22" spans="1:42">
      <c r="A22" s="1"/>
      <c r="B22" s="1"/>
      <c r="C22" s="1"/>
      <c r="D22" s="1"/>
      <c r="E22" s="1"/>
      <c r="F22" s="1"/>
      <c r="G22" s="1"/>
      <c r="H22" s="1"/>
      <c r="I22" s="1"/>
      <c r="J22" s="75" t="s">
        <v>97</v>
      </c>
      <c r="K22" s="1">
        <f>R4/D4</f>
        <v>0.2392857142857143</v>
      </c>
      <c r="L22" s="1" t="s">
        <v>2</v>
      </c>
      <c r="M22" s="1">
        <f>K22/J19*100</f>
        <v>8.176049463065409</v>
      </c>
      <c r="N22" s="1" t="s">
        <v>128</v>
      </c>
      <c r="O22" s="1">
        <f>K22*Q22</f>
        <v>0</v>
      </c>
      <c r="P22" s="18"/>
      <c r="Q22" s="18"/>
      <c r="R22" s="1"/>
      <c r="S22" s="1"/>
      <c r="T22" s="1"/>
      <c r="U22" s="8"/>
      <c r="V22" s="30"/>
      <c r="W22" s="1"/>
      <c r="X22" s="11"/>
      <c r="Y22" s="19"/>
      <c r="Z22" s="19"/>
      <c r="AA22" s="24"/>
      <c r="AB22" s="1"/>
      <c r="AC22" s="11"/>
      <c r="AD22" s="9"/>
      <c r="AE22" s="1"/>
      <c r="AF22" s="1"/>
      <c r="AG22" s="1"/>
      <c r="AH22" s="1"/>
      <c r="AI22" s="1"/>
      <c r="AJ22" s="1"/>
      <c r="AK22" s="1"/>
      <c r="AL22" s="1">
        <f t="shared" si="0"/>
        <v>0</v>
      </c>
      <c r="AM22" s="17" t="e">
        <f t="shared" si="1"/>
        <v>#DIV/0!</v>
      </c>
      <c r="AN22" s="1">
        <f t="shared" si="2"/>
        <v>0</v>
      </c>
      <c r="AO22" s="1">
        <f>AL22-AN22</f>
        <v>0</v>
      </c>
      <c r="AP22" s="18" t="e">
        <f t="shared" si="4"/>
        <v>#DIV/0!</v>
      </c>
    </row>
    <row r="23" spans="1:42">
      <c r="A23" s="1"/>
      <c r="B23" s="1"/>
      <c r="C23" s="1"/>
      <c r="D23" s="1"/>
      <c r="E23" s="1"/>
      <c r="F23" s="1"/>
      <c r="G23" s="1"/>
      <c r="H23" s="1"/>
      <c r="I23" s="1"/>
      <c r="J23" s="1" t="s">
        <v>129</v>
      </c>
      <c r="K23" s="1">
        <f>SUM(N4+O4+P4+S4)/D4</f>
        <v>0.34404761904761905</v>
      </c>
      <c r="L23" s="1" t="s">
        <v>2</v>
      </c>
      <c r="M23" s="1">
        <f>K23/J19*100</f>
        <v>11.755613407094044</v>
      </c>
      <c r="N23" s="1" t="s">
        <v>128</v>
      </c>
      <c r="O23" s="1">
        <f>K23*Q23</f>
        <v>51.607142857142854</v>
      </c>
      <c r="P23" s="1" t="s">
        <v>90</v>
      </c>
      <c r="Q23" s="1">
        <v>150</v>
      </c>
      <c r="R23" s="1"/>
      <c r="S23" s="1"/>
      <c r="T23" s="1"/>
      <c r="U23" s="8"/>
      <c r="V23" s="30"/>
      <c r="W23" s="1"/>
      <c r="X23" s="11"/>
      <c r="Y23" s="19"/>
      <c r="Z23" s="19"/>
      <c r="AA23" s="24"/>
      <c r="AB23" s="1"/>
      <c r="AC23" s="11"/>
      <c r="AD23" s="9"/>
      <c r="AE23" s="1"/>
      <c r="AF23" s="1"/>
      <c r="AG23" s="1"/>
      <c r="AH23" s="1"/>
      <c r="AI23" s="1"/>
      <c r="AJ23" s="1"/>
      <c r="AK23" s="1"/>
      <c r="AL23" s="1">
        <f t="shared" si="0"/>
        <v>0</v>
      </c>
      <c r="AM23" s="17" t="e">
        <f t="shared" si="1"/>
        <v>#DIV/0!</v>
      </c>
      <c r="AN23" s="1">
        <f t="shared" si="2"/>
        <v>0</v>
      </c>
      <c r="AO23" s="1">
        <f t="shared" si="3"/>
        <v>0</v>
      </c>
      <c r="AP23" s="18" t="e">
        <f t="shared" si="4"/>
        <v>#DIV/0!</v>
      </c>
    </row>
    <row r="24" spans="1:42">
      <c r="A24" s="1"/>
      <c r="B24" s="1"/>
      <c r="C24" s="1"/>
      <c r="D24" s="1"/>
      <c r="E24" s="1"/>
      <c r="F24" s="1"/>
      <c r="G24" s="1"/>
      <c r="H24" s="1"/>
      <c r="I24" s="1"/>
      <c r="J24" s="1" t="s">
        <v>5</v>
      </c>
      <c r="K24" s="1">
        <f>J4/D4</f>
        <v>8.4999999999999992E-2</v>
      </c>
      <c r="L24" s="1" t="s">
        <v>2</v>
      </c>
      <c r="M24" s="1">
        <f>K24/J19*100</f>
        <v>2.9043280182232341</v>
      </c>
      <c r="N24" s="1" t="s">
        <v>128</v>
      </c>
      <c r="O24" s="1">
        <f>K24*Q24</f>
        <v>12.749999999999998</v>
      </c>
      <c r="P24" s="1" t="s">
        <v>90</v>
      </c>
      <c r="Q24" s="1">
        <v>150</v>
      </c>
      <c r="R24" s="1"/>
      <c r="S24" s="1"/>
      <c r="T24" s="1"/>
      <c r="U24" s="8"/>
      <c r="V24" s="30"/>
      <c r="W24" s="1"/>
      <c r="X24" s="19"/>
      <c r="Y24" s="19"/>
      <c r="Z24" s="24"/>
      <c r="AA24" s="1"/>
      <c r="AB24" s="11"/>
      <c r="AC24" s="9"/>
      <c r="AD24" s="1"/>
      <c r="AE24" s="1"/>
      <c r="AG24" s="1"/>
      <c r="AH24" s="1"/>
      <c r="AI24" s="1"/>
      <c r="AJ24" s="1"/>
      <c r="AK24" s="1"/>
      <c r="AL24" s="1">
        <f t="shared" si="0"/>
        <v>0</v>
      </c>
      <c r="AM24" s="17" t="e">
        <f t="shared" si="1"/>
        <v>#DIV/0!</v>
      </c>
      <c r="AN24" s="1">
        <f t="shared" si="2"/>
        <v>0</v>
      </c>
      <c r="AO24" s="1">
        <f t="shared" si="3"/>
        <v>0</v>
      </c>
      <c r="AP24" s="18" t="e">
        <f t="shared" si="4"/>
        <v>#DIV/0!</v>
      </c>
    </row>
    <row r="25" spans="1:42">
      <c r="A25" s="1"/>
      <c r="B25" s="1"/>
      <c r="C25" s="1"/>
      <c r="D25" s="1"/>
      <c r="E25" s="1"/>
      <c r="F25" s="1"/>
      <c r="G25" s="1"/>
      <c r="H25" s="1"/>
      <c r="I25" s="1"/>
      <c r="J25" s="76" t="s">
        <v>121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8"/>
      <c r="V25" s="30"/>
      <c r="W25" s="1"/>
      <c r="X25" s="11"/>
      <c r="Y25" s="19"/>
      <c r="Z25" s="19"/>
      <c r="AA25" s="24"/>
      <c r="AB25" s="1"/>
      <c r="AC25" s="11"/>
      <c r="AD25" s="9"/>
      <c r="AE25" s="1"/>
      <c r="AF25" s="1"/>
      <c r="AG25" s="1"/>
      <c r="AH25" s="1"/>
      <c r="AI25" s="1"/>
      <c r="AJ25" s="1"/>
      <c r="AK25" s="1"/>
      <c r="AL25" s="1">
        <f t="shared" si="0"/>
        <v>0</v>
      </c>
      <c r="AM25" s="17" t="e">
        <f t="shared" si="1"/>
        <v>#DIV/0!</v>
      </c>
      <c r="AN25" s="1">
        <f t="shared" si="2"/>
        <v>0</v>
      </c>
      <c r="AO25" s="1">
        <f t="shared" si="3"/>
        <v>0</v>
      </c>
      <c r="AP25" s="18" t="e">
        <f t="shared" si="4"/>
        <v>#DIV/0!</v>
      </c>
    </row>
    <row r="26" spans="1:42">
      <c r="A26" s="1"/>
      <c r="B26" s="1"/>
      <c r="C26" s="1"/>
      <c r="D26" s="1"/>
      <c r="E26" s="1"/>
      <c r="F26" s="1"/>
      <c r="G26" s="1"/>
      <c r="H26" s="1"/>
      <c r="I26" s="1"/>
      <c r="J26" s="77" t="s">
        <v>122</v>
      </c>
      <c r="K26" s="1">
        <f>L4/D4</f>
        <v>0.11261904761904763</v>
      </c>
      <c r="L26" s="1" t="s">
        <v>2</v>
      </c>
      <c r="M26" s="1">
        <f>K26/J19*100</f>
        <v>3.8480312398307848</v>
      </c>
      <c r="N26" s="1" t="s">
        <v>128</v>
      </c>
      <c r="O26" s="1">
        <f>K26*Q26</f>
        <v>67.571428571428584</v>
      </c>
      <c r="P26" s="1" t="s">
        <v>90</v>
      </c>
      <c r="Q26" s="1">
        <v>600</v>
      </c>
      <c r="R26" s="1"/>
      <c r="S26" s="1"/>
      <c r="T26" s="1"/>
      <c r="U26" s="8"/>
      <c r="V26" s="30"/>
      <c r="W26" s="1"/>
      <c r="X26" s="11"/>
      <c r="Y26" s="19"/>
      <c r="Z26" s="19"/>
      <c r="AA26" s="24"/>
      <c r="AB26" s="1"/>
      <c r="AC26" s="11"/>
      <c r="AD26" s="9"/>
      <c r="AE26" s="1"/>
      <c r="AF26" s="1"/>
      <c r="AG26" s="1"/>
      <c r="AH26" s="1"/>
      <c r="AI26" s="1"/>
      <c r="AJ26" s="1"/>
      <c r="AK26" s="1"/>
      <c r="AL26" s="1">
        <f t="shared" si="0"/>
        <v>0</v>
      </c>
      <c r="AM26" s="17" t="e">
        <f t="shared" si="1"/>
        <v>#DIV/0!</v>
      </c>
      <c r="AN26" s="1">
        <f t="shared" si="2"/>
        <v>0</v>
      </c>
      <c r="AO26" s="1">
        <f t="shared" si="3"/>
        <v>0</v>
      </c>
      <c r="AP26" s="18" t="e">
        <f t="shared" si="4"/>
        <v>#DIV/0!</v>
      </c>
    </row>
    <row r="27" spans="1:42">
      <c r="A27" s="1"/>
      <c r="B27" s="1"/>
      <c r="C27" s="1"/>
      <c r="D27" s="1"/>
      <c r="E27" s="1"/>
      <c r="F27" s="1"/>
      <c r="G27" s="1"/>
      <c r="H27" s="1"/>
      <c r="I27" s="1"/>
      <c r="J27" s="42" t="s">
        <v>21</v>
      </c>
      <c r="K27" s="42">
        <f>Z4/D4</f>
        <v>0.1988095238095238</v>
      </c>
      <c r="L27" s="1" t="s">
        <v>2</v>
      </c>
      <c r="M27" s="1">
        <f>K27/J19*100</f>
        <v>6.7930361210543442</v>
      </c>
      <c r="N27" s="1" t="s">
        <v>128</v>
      </c>
      <c r="O27" s="1">
        <f>K27*Q27</f>
        <v>99.404761904761898</v>
      </c>
      <c r="P27" s="1" t="s">
        <v>90</v>
      </c>
      <c r="Q27" s="1">
        <v>500</v>
      </c>
      <c r="R27" s="1"/>
      <c r="S27" s="1"/>
      <c r="T27" s="1"/>
      <c r="U27" s="8"/>
      <c r="V27" s="30"/>
      <c r="W27" s="1"/>
      <c r="X27" s="11"/>
      <c r="Y27" s="19"/>
      <c r="Z27" s="19"/>
      <c r="AA27" s="24"/>
      <c r="AB27" s="1"/>
      <c r="AC27" s="11"/>
      <c r="AD27" s="9"/>
      <c r="AE27" s="1"/>
      <c r="AF27" s="1"/>
      <c r="AG27" s="1"/>
      <c r="AH27" s="1"/>
      <c r="AI27" s="1"/>
      <c r="AJ27" s="1"/>
      <c r="AK27" s="1"/>
      <c r="AL27" s="1">
        <f t="shared" si="0"/>
        <v>0</v>
      </c>
      <c r="AM27" s="17" t="e">
        <f t="shared" si="1"/>
        <v>#DIV/0!</v>
      </c>
      <c r="AN27" s="1">
        <f t="shared" si="2"/>
        <v>0</v>
      </c>
      <c r="AO27" s="1">
        <f t="shared" si="3"/>
        <v>0</v>
      </c>
      <c r="AP27" s="18" t="e">
        <f t="shared" si="4"/>
        <v>#DIV/0!</v>
      </c>
    </row>
    <row r="28" spans="1:42">
      <c r="A28" s="1"/>
      <c r="B28" s="1"/>
      <c r="C28" s="1"/>
      <c r="D28" s="1"/>
      <c r="E28" s="1"/>
      <c r="F28" s="1"/>
      <c r="G28" s="1"/>
      <c r="H28" s="1"/>
      <c r="I28" s="1"/>
      <c r="J28" s="76" t="s">
        <v>135</v>
      </c>
      <c r="K28" s="1">
        <f>J19-K21</f>
        <v>1.9469047619047619</v>
      </c>
      <c r="L28" s="1" t="s">
        <v>2</v>
      </c>
      <c r="M28" s="1">
        <f>K28/J19*100</f>
        <v>66.522941750732173</v>
      </c>
      <c r="N28" s="1" t="s">
        <v>128</v>
      </c>
      <c r="O28" s="1"/>
      <c r="P28" s="1">
        <f>K28*Q28</f>
        <v>1946.9047619047619</v>
      </c>
      <c r="Q28" s="1">
        <v>1000</v>
      </c>
      <c r="R28" s="1" t="s">
        <v>138</v>
      </c>
      <c r="S28" s="1"/>
      <c r="T28" s="1"/>
      <c r="U28" s="8"/>
      <c r="V28" s="30"/>
      <c r="W28" s="1"/>
      <c r="X28" s="11"/>
      <c r="Y28" s="19"/>
      <c r="Z28" s="19"/>
      <c r="AA28" s="24"/>
      <c r="AB28" s="1"/>
      <c r="AC28" s="11"/>
      <c r="AD28" s="9"/>
      <c r="AE28" s="1"/>
      <c r="AF28" s="1"/>
      <c r="AG28" s="1"/>
      <c r="AH28" s="1"/>
      <c r="AI28" s="1"/>
      <c r="AJ28" s="1"/>
      <c r="AK28" s="1"/>
      <c r="AL28" s="1">
        <f t="shared" si="0"/>
        <v>0</v>
      </c>
      <c r="AM28" s="17" t="e">
        <f t="shared" si="1"/>
        <v>#DIV/0!</v>
      </c>
      <c r="AN28" s="1">
        <f t="shared" si="2"/>
        <v>0</v>
      </c>
      <c r="AO28" s="1">
        <f t="shared" si="3"/>
        <v>0</v>
      </c>
      <c r="AP28" s="18" t="e">
        <f t="shared" si="4"/>
        <v>#DIV/0!</v>
      </c>
    </row>
    <row r="29" spans="1:42">
      <c r="A29" s="1"/>
      <c r="B29" s="1"/>
      <c r="C29" s="1"/>
      <c r="D29" s="1"/>
      <c r="E29" s="1"/>
      <c r="F29" s="1"/>
      <c r="G29" s="1"/>
      <c r="H29" s="1"/>
      <c r="I29" s="1"/>
      <c r="J29" s="76" t="s">
        <v>125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8"/>
      <c r="V29" s="30"/>
      <c r="W29" s="1"/>
      <c r="X29" s="11"/>
      <c r="Y29" s="19"/>
      <c r="Z29" s="19"/>
      <c r="AA29" s="24"/>
      <c r="AB29" s="1"/>
      <c r="AC29" s="11"/>
      <c r="AD29" s="9"/>
      <c r="AE29" s="1"/>
      <c r="AF29" s="1"/>
      <c r="AG29" s="1"/>
      <c r="AH29" s="1"/>
      <c r="AI29" s="1"/>
      <c r="AJ29" s="1"/>
      <c r="AK29" s="1"/>
      <c r="AL29" s="1">
        <f t="shared" si="0"/>
        <v>0</v>
      </c>
      <c r="AM29" s="17" t="e">
        <f t="shared" si="1"/>
        <v>#DIV/0!</v>
      </c>
      <c r="AN29" s="1">
        <f t="shared" si="2"/>
        <v>0</v>
      </c>
      <c r="AO29" s="1">
        <f t="shared" si="3"/>
        <v>0</v>
      </c>
      <c r="AP29" s="18" t="e">
        <f t="shared" si="4"/>
        <v>#DIV/0!</v>
      </c>
    </row>
    <row r="30" spans="1:42">
      <c r="A30" s="1"/>
      <c r="B30" s="1"/>
      <c r="C30" s="1"/>
      <c r="D30" s="1"/>
      <c r="E30" s="1"/>
      <c r="F30" s="1"/>
      <c r="G30" s="1"/>
      <c r="H30" s="1"/>
      <c r="I30" s="1"/>
      <c r="J30" s="1" t="s">
        <v>18</v>
      </c>
      <c r="K30" s="1">
        <f>W4/D4</f>
        <v>0.22380952380952382</v>
      </c>
      <c r="L30" s="1" t="s">
        <v>2</v>
      </c>
      <c r="M30" s="1">
        <f>K30/J19*100</f>
        <v>7.647250244061178</v>
      </c>
      <c r="N30" s="1" t="s">
        <v>128</v>
      </c>
      <c r="O30" s="1"/>
      <c r="P30" s="1"/>
      <c r="Q30" s="1"/>
      <c r="R30" s="1"/>
      <c r="S30" s="1"/>
      <c r="T30" s="1"/>
      <c r="U30" s="8"/>
      <c r="V30" s="30"/>
      <c r="W30" s="1"/>
      <c r="X30" s="11"/>
      <c r="Y30" s="19"/>
      <c r="Z30" s="19"/>
      <c r="AA30" s="24"/>
      <c r="AB30" s="1"/>
      <c r="AC30" s="11"/>
      <c r="AD30" s="9"/>
      <c r="AE30" s="1"/>
      <c r="AF30" s="1"/>
      <c r="AG30" s="1"/>
      <c r="AH30" s="1"/>
      <c r="AI30" s="1"/>
      <c r="AJ30" s="1"/>
      <c r="AK30" s="1"/>
      <c r="AL30" s="1">
        <f t="shared" si="0"/>
        <v>0</v>
      </c>
      <c r="AM30" s="17" t="e">
        <f t="shared" si="1"/>
        <v>#DIV/0!</v>
      </c>
      <c r="AN30" s="1">
        <f t="shared" si="2"/>
        <v>0</v>
      </c>
      <c r="AO30" s="1">
        <f t="shared" si="3"/>
        <v>0</v>
      </c>
      <c r="AP30" s="18" t="e">
        <f t="shared" si="4"/>
        <v>#DIV/0!</v>
      </c>
    </row>
    <row r="31" spans="1:42" ht="15.75" thickBot="1">
      <c r="A31" s="1"/>
      <c r="B31" s="1"/>
      <c r="C31" s="1"/>
      <c r="D31" s="1"/>
      <c r="E31" s="1"/>
      <c r="F31" s="1"/>
      <c r="G31" s="1"/>
      <c r="H31" s="1"/>
      <c r="I31" s="1"/>
      <c r="J31" s="42" t="s">
        <v>25</v>
      </c>
      <c r="K31" s="1">
        <f>AJ4/D4</f>
        <v>7.8285714285714278E-2</v>
      </c>
      <c r="L31" s="1" t="s">
        <v>2</v>
      </c>
      <c r="M31" s="1">
        <f>K31/J19*100</f>
        <v>2.6749105109013991</v>
      </c>
      <c r="N31" s="1" t="s">
        <v>128</v>
      </c>
      <c r="O31" s="1"/>
      <c r="P31" s="1"/>
      <c r="Q31" s="1"/>
      <c r="R31" s="1"/>
      <c r="S31" s="1"/>
      <c r="T31" s="1"/>
      <c r="U31" s="8"/>
      <c r="V31" s="31"/>
      <c r="W31" s="26"/>
      <c r="X31" s="12"/>
      <c r="Y31" s="3"/>
      <c r="Z31" s="19"/>
      <c r="AA31" s="25"/>
      <c r="AB31" s="26"/>
      <c r="AC31" s="12"/>
      <c r="AD31" s="9"/>
      <c r="AE31" s="1"/>
      <c r="AF31" s="1"/>
      <c r="AG31" s="1"/>
      <c r="AH31" s="1"/>
      <c r="AI31" s="1"/>
      <c r="AJ31" s="1"/>
      <c r="AK31" s="1"/>
      <c r="AL31" s="1">
        <f t="shared" si="0"/>
        <v>0</v>
      </c>
      <c r="AM31" s="17" t="e">
        <f t="shared" si="1"/>
        <v>#DIV/0!</v>
      </c>
      <c r="AN31" s="1">
        <f t="shared" si="2"/>
        <v>0</v>
      </c>
      <c r="AO31" s="1">
        <f t="shared" si="3"/>
        <v>0</v>
      </c>
      <c r="AP31" s="18" t="e">
        <f t="shared" si="4"/>
        <v>#DIV/0!</v>
      </c>
    </row>
    <row r="32" spans="1:42">
      <c r="J32" s="78" t="s">
        <v>142</v>
      </c>
      <c r="K32" s="79">
        <f>SUM(K30:K31)</f>
        <v>0.30209523809523808</v>
      </c>
      <c r="M32">
        <f>K32/J19*100</f>
        <v>10.322160754962576</v>
      </c>
      <c r="U32" s="7"/>
      <c r="V32" s="6"/>
      <c r="AN32" s="1">
        <f t="shared" si="2"/>
        <v>0</v>
      </c>
      <c r="AO32" s="1"/>
      <c r="AP32" s="18"/>
    </row>
    <row r="33" spans="10:17">
      <c r="J33" s="77" t="s">
        <v>144</v>
      </c>
      <c r="K33" s="1">
        <f>(X4+AF4)/D4</f>
        <v>0.14838095238095239</v>
      </c>
      <c r="L33" s="1" t="s">
        <v>2</v>
      </c>
      <c r="M33" s="1">
        <f>K33/J19*100</f>
        <v>5.0699642043605602</v>
      </c>
      <c r="N33" s="1" t="s">
        <v>128</v>
      </c>
      <c r="O33" s="1">
        <f>K33*Q33</f>
        <v>296.76190476190476</v>
      </c>
      <c r="P33" s="1"/>
      <c r="Q33" s="1">
        <v>2000</v>
      </c>
    </row>
    <row r="34" spans="10:17">
      <c r="J34" s="42" t="s">
        <v>76</v>
      </c>
      <c r="K34" s="1">
        <f>AB4/D4</f>
        <v>0.124</v>
      </c>
      <c r="L34" s="1" t="s">
        <v>2</v>
      </c>
      <c r="M34" s="1">
        <f>K34/J19*100</f>
        <v>4.236902050113895</v>
      </c>
      <c r="N34" s="1" t="s">
        <v>128</v>
      </c>
      <c r="O34" s="1">
        <f>K34*Q34</f>
        <v>318.68</v>
      </c>
      <c r="P34" s="1"/>
      <c r="Q34" s="1">
        <v>2570</v>
      </c>
    </row>
    <row r="35" spans="10:17">
      <c r="J35" s="42" t="s">
        <v>77</v>
      </c>
      <c r="K35" s="1">
        <f>AC4/D4</f>
        <v>7.6190476190476197E-2</v>
      </c>
      <c r="L35" s="1" t="s">
        <v>2</v>
      </c>
      <c r="M35" s="1">
        <f>K35/J19*100</f>
        <v>2.6033192320208265</v>
      </c>
      <c r="N35" s="1" t="s">
        <v>128</v>
      </c>
      <c r="O35" s="1">
        <f>K35*Q35</f>
        <v>252.95238095238096</v>
      </c>
      <c r="P35" s="1"/>
      <c r="Q35" s="1">
        <v>3320</v>
      </c>
    </row>
    <row r="36" spans="10:17">
      <c r="J36" s="42" t="s">
        <v>165</v>
      </c>
      <c r="K36" s="1">
        <v>0</v>
      </c>
      <c r="L36" s="1" t="s">
        <v>2</v>
      </c>
      <c r="M36" s="1">
        <f>K36/J19*100</f>
        <v>0</v>
      </c>
      <c r="N36" s="1" t="s">
        <v>128</v>
      </c>
      <c r="O36" s="1">
        <f>K36*Q36</f>
        <v>0</v>
      </c>
      <c r="P36" s="1"/>
      <c r="Q36" s="1">
        <v>2000</v>
      </c>
    </row>
    <row r="37" spans="10:17">
      <c r="J37" s="42" t="s">
        <v>130</v>
      </c>
      <c r="K37" s="1">
        <f>AG4/D4</f>
        <v>0.21476190476190476</v>
      </c>
      <c r="L37" s="1" t="s">
        <v>2</v>
      </c>
      <c r="M37" s="1">
        <f>K37/J19*100</f>
        <v>7.3381060852587039</v>
      </c>
      <c r="N37" s="1" t="s">
        <v>128</v>
      </c>
      <c r="O37" s="1">
        <f>K37*Q37</f>
        <v>536.90476190476193</v>
      </c>
      <c r="P37" s="1"/>
      <c r="Q37" s="1">
        <v>2500</v>
      </c>
    </row>
    <row r="38" spans="10:17">
      <c r="J38" s="1"/>
      <c r="K38" s="1"/>
      <c r="L38" s="1" t="s">
        <v>2</v>
      </c>
      <c r="M38" s="1"/>
      <c r="N38" s="1" t="s">
        <v>128</v>
      </c>
      <c r="O38" s="1"/>
      <c r="P38" s="1"/>
      <c r="Q38" s="1"/>
    </row>
    <row r="39" spans="10:17">
      <c r="J39" s="1" t="s">
        <v>95</v>
      </c>
      <c r="K39" s="1">
        <f>SUM(K33:K38)</f>
        <v>0.56333333333333335</v>
      </c>
      <c r="L39" s="1" t="s">
        <v>2</v>
      </c>
      <c r="M39" s="1">
        <f>SUM(M33:M38)</f>
        <v>19.248291571753985</v>
      </c>
      <c r="N39" s="1" t="s">
        <v>128</v>
      </c>
      <c r="P39" s="1">
        <f>K39*Q39</f>
        <v>1126.6666666666667</v>
      </c>
      <c r="Q39" s="1">
        <v>2000</v>
      </c>
    </row>
    <row r="40" spans="10:17">
      <c r="J40" s="1"/>
      <c r="K40" s="1"/>
      <c r="L40" s="1"/>
      <c r="M40" s="1"/>
      <c r="N40" s="1" t="s">
        <v>128</v>
      </c>
      <c r="O40" s="1"/>
      <c r="P40" s="1"/>
      <c r="Q40" s="1"/>
    </row>
    <row r="41" spans="10:17">
      <c r="J41" s="1">
        <f>K39+K32</f>
        <v>0.86542857142857144</v>
      </c>
      <c r="K41" s="1">
        <f>K39/K28</f>
        <v>0.28934817170111288</v>
      </c>
      <c r="L41" s="1" t="s">
        <v>128</v>
      </c>
      <c r="M41" s="1"/>
      <c r="N41" s="1" t="s">
        <v>128</v>
      </c>
      <c r="O41" s="1"/>
      <c r="P41" s="1"/>
      <c r="Q41" s="1"/>
    </row>
    <row r="42" spans="10:17">
      <c r="J42" s="1"/>
      <c r="K42" s="1"/>
      <c r="L42" s="1"/>
      <c r="M42" s="1"/>
      <c r="N42" s="1" t="s">
        <v>128</v>
      </c>
      <c r="O42" s="1"/>
      <c r="P42" s="1"/>
      <c r="Q42" s="1"/>
    </row>
    <row r="43" spans="10:17">
      <c r="J43" s="1">
        <f>J41-K41-K32</f>
        <v>0.27398516163222053</v>
      </c>
      <c r="K43" s="1" t="s">
        <v>167</v>
      </c>
      <c r="L43" s="1"/>
      <c r="M43" s="1"/>
      <c r="N43" s="1" t="s">
        <v>128</v>
      </c>
      <c r="O43" s="1"/>
      <c r="P43" s="1"/>
      <c r="Q43" s="1"/>
    </row>
    <row r="44" spans="10:17">
      <c r="J44" s="1"/>
      <c r="K44" s="1"/>
      <c r="L44" s="1"/>
      <c r="M44" s="1"/>
      <c r="N44" s="1"/>
      <c r="O44" s="1"/>
      <c r="P44" s="1"/>
      <c r="Q44" s="1"/>
    </row>
    <row r="45" spans="10:17">
      <c r="J45" s="1"/>
      <c r="K45" s="1"/>
      <c r="L45" s="1"/>
      <c r="M45" s="1"/>
      <c r="N45" s="1"/>
      <c r="O45" s="1"/>
      <c r="P45" s="1"/>
      <c r="Q45" s="1"/>
    </row>
    <row r="46" spans="10:17">
      <c r="J46" s="1"/>
      <c r="K46" s="1"/>
      <c r="L46" s="1"/>
      <c r="M46" s="1"/>
      <c r="N46" s="1"/>
      <c r="P46" s="1">
        <f>SUM(O23:O28)+P39</f>
        <v>1358</v>
      </c>
      <c r="Q46" s="1" t="s">
        <v>158</v>
      </c>
    </row>
  </sheetData>
  <mergeCells count="26">
    <mergeCell ref="S1:S2"/>
    <mergeCell ref="D1:E1"/>
    <mergeCell ref="G1:G2"/>
    <mergeCell ref="H1:H2"/>
    <mergeCell ref="J1:J2"/>
    <mergeCell ref="K1:K2"/>
    <mergeCell ref="L1:L2"/>
    <mergeCell ref="N1:N2"/>
    <mergeCell ref="O1:O2"/>
    <mergeCell ref="P1:P2"/>
    <mergeCell ref="R1:R2"/>
    <mergeCell ref="M1:M2"/>
    <mergeCell ref="T1:T2"/>
    <mergeCell ref="W1:X1"/>
    <mergeCell ref="V1:V2"/>
    <mergeCell ref="AB1:AC1"/>
    <mergeCell ref="AL1:AL2"/>
    <mergeCell ref="AK1:AK2"/>
    <mergeCell ref="AM1:AM2"/>
    <mergeCell ref="AN1:AN2"/>
    <mergeCell ref="AO1:AO2"/>
    <mergeCell ref="AP1:AP2"/>
    <mergeCell ref="Y1:Y2"/>
    <mergeCell ref="AA1:AA2"/>
    <mergeCell ref="AD1:AD2"/>
    <mergeCell ref="AJ1:AJ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84"/>
  <sheetViews>
    <sheetView topLeftCell="A43" workbookViewId="0">
      <selection activeCell="K75" sqref="K75"/>
    </sheetView>
  </sheetViews>
  <sheetFormatPr defaultRowHeight="15"/>
  <cols>
    <col min="1" max="1" width="23" customWidth="1"/>
  </cols>
  <sheetData>
    <row r="1" spans="1:21">
      <c r="A1" t="s">
        <v>14</v>
      </c>
      <c r="M1" s="45" t="s">
        <v>93</v>
      </c>
      <c r="N1" s="46"/>
      <c r="O1" s="46" t="s">
        <v>94</v>
      </c>
      <c r="P1" s="46" t="s">
        <v>95</v>
      </c>
      <c r="Q1" s="46"/>
      <c r="R1" s="47" t="s">
        <v>96</v>
      </c>
    </row>
    <row r="2" spans="1:21">
      <c r="M2" s="48" t="s">
        <v>97</v>
      </c>
      <c r="N2" s="49">
        <v>3.5819999999999999</v>
      </c>
      <c r="O2" s="49"/>
      <c r="P2" s="49">
        <f>N2*O2</f>
        <v>0</v>
      </c>
      <c r="Q2" s="49" t="s">
        <v>98</v>
      </c>
      <c r="R2" s="50">
        <f>N2/D5*1000</f>
        <v>198.99999999999997</v>
      </c>
      <c r="S2" s="51">
        <f>N2/B5</f>
        <v>7.4415705827360554E-2</v>
      </c>
    </row>
    <row r="3" spans="1:21">
      <c r="M3" s="52" t="s">
        <v>6</v>
      </c>
      <c r="N3" s="49">
        <v>0.69499999999999995</v>
      </c>
      <c r="O3" s="49">
        <v>200</v>
      </c>
      <c r="P3" s="49">
        <f>N3*O3</f>
        <v>139</v>
      </c>
      <c r="Q3" s="49" t="s">
        <v>90</v>
      </c>
      <c r="R3" s="50">
        <f>N3/D5*1000</f>
        <v>38.611111111111107</v>
      </c>
      <c r="S3" s="51">
        <f>N3/B5</f>
        <v>1.4438558221668224E-2</v>
      </c>
    </row>
    <row r="4" spans="1:21">
      <c r="A4" s="1" t="s">
        <v>16</v>
      </c>
      <c r="B4">
        <v>300</v>
      </c>
      <c r="C4" t="s">
        <v>99</v>
      </c>
      <c r="F4" s="53">
        <v>2.6739999999999999</v>
      </c>
      <c r="G4" s="53" t="s">
        <v>100</v>
      </c>
      <c r="H4" s="53"/>
      <c r="M4" s="54" t="s">
        <v>9</v>
      </c>
      <c r="N4" s="49">
        <v>3.55</v>
      </c>
      <c r="O4" s="49">
        <v>30</v>
      </c>
      <c r="P4" s="49">
        <f t="shared" ref="P4:P6" si="0">N4*O4</f>
        <v>106.5</v>
      </c>
      <c r="Q4" s="49" t="s">
        <v>90</v>
      </c>
      <c r="R4" s="50">
        <f>N4/D5*1000</f>
        <v>197.22222222222223</v>
      </c>
      <c r="S4" s="51">
        <f>N4/B5</f>
        <v>7.375090890204633E-2</v>
      </c>
    </row>
    <row r="5" spans="1:21" ht="18.75">
      <c r="B5" s="1">
        <v>48.134999999999998</v>
      </c>
      <c r="C5" t="s">
        <v>2</v>
      </c>
      <c r="D5">
        <v>18</v>
      </c>
      <c r="E5" t="s">
        <v>1</v>
      </c>
      <c r="F5" s="55">
        <f>B5*B4</f>
        <v>14440.5</v>
      </c>
      <c r="G5" s="55" t="s">
        <v>101</v>
      </c>
      <c r="H5" s="55"/>
      <c r="I5" s="55"/>
      <c r="J5" s="56"/>
      <c r="M5" s="52" t="s">
        <v>102</v>
      </c>
      <c r="N5" s="49">
        <v>1.0649999999999999</v>
      </c>
      <c r="O5" s="49">
        <v>30</v>
      </c>
      <c r="P5" s="49">
        <f t="shared" si="0"/>
        <v>31.95</v>
      </c>
      <c r="Q5" s="49" t="s">
        <v>90</v>
      </c>
      <c r="R5" s="50">
        <f>N5/D5*1000</f>
        <v>59.166666666666664</v>
      </c>
      <c r="S5" s="51">
        <f>N5/B5</f>
        <v>2.2125272670613899E-2</v>
      </c>
    </row>
    <row r="6" spans="1:21" ht="18.75">
      <c r="A6" s="57" t="s">
        <v>3</v>
      </c>
      <c r="F6" s="55">
        <f>F5/D5</f>
        <v>802.25</v>
      </c>
      <c r="G6" s="55" t="s">
        <v>103</v>
      </c>
      <c r="H6" s="55"/>
      <c r="I6" s="55"/>
      <c r="J6" s="56"/>
      <c r="M6" s="54" t="s">
        <v>12</v>
      </c>
      <c r="N6" s="49">
        <v>1.2849999999999999</v>
      </c>
      <c r="O6" s="49">
        <v>100</v>
      </c>
      <c r="P6" s="49">
        <f t="shared" si="0"/>
        <v>128.5</v>
      </c>
      <c r="Q6" s="49" t="s">
        <v>90</v>
      </c>
      <c r="R6" s="50">
        <f>N6/D5*1000</f>
        <v>71.388888888888886</v>
      </c>
      <c r="S6" s="51">
        <f>N6/B5</f>
        <v>2.6695751532149162E-2</v>
      </c>
    </row>
    <row r="7" spans="1:21" ht="15.75" thickBot="1">
      <c r="A7" s="58" t="s">
        <v>4</v>
      </c>
      <c r="C7" t="s">
        <v>94</v>
      </c>
      <c r="D7" t="s">
        <v>95</v>
      </c>
      <c r="F7" t="s">
        <v>96</v>
      </c>
      <c r="M7" s="59" t="s">
        <v>8</v>
      </c>
      <c r="N7" s="60">
        <v>1.8</v>
      </c>
      <c r="O7" s="60">
        <v>30</v>
      </c>
      <c r="P7" s="60">
        <f>N7*O7</f>
        <v>54</v>
      </c>
      <c r="Q7" s="60" t="s">
        <v>90</v>
      </c>
      <c r="R7" s="61">
        <f>N7/D5*1000</f>
        <v>100</v>
      </c>
      <c r="S7" s="51">
        <f>N7/B5</f>
        <v>3.7394827048924904E-2</v>
      </c>
    </row>
    <row r="8" spans="1:21" ht="15.75" thickBot="1">
      <c r="A8" s="62" t="s">
        <v>5</v>
      </c>
      <c r="B8" s="7">
        <v>2.0150000000000001</v>
      </c>
      <c r="C8" s="7">
        <v>500</v>
      </c>
      <c r="D8" s="7">
        <f>B8*C8</f>
        <v>1007.5000000000001</v>
      </c>
      <c r="E8" s="7" t="s">
        <v>90</v>
      </c>
      <c r="F8">
        <f>B8/D5*1000</f>
        <v>111.94444444444446</v>
      </c>
      <c r="M8" t="s">
        <v>104</v>
      </c>
      <c r="N8">
        <f>SUM(N3:N7)</f>
        <v>8.3950000000000014</v>
      </c>
      <c r="P8">
        <f>SUM(P3:P7)</f>
        <v>459.95</v>
      </c>
      <c r="Q8" s="60" t="s">
        <v>105</v>
      </c>
      <c r="R8">
        <f>SUM(R3:R7)/1000</f>
        <v>0.46638888888888891</v>
      </c>
      <c r="S8" t="s">
        <v>2</v>
      </c>
      <c r="T8" s="51">
        <f>SUM(S2:S7)</f>
        <v>0.24882102420276311</v>
      </c>
      <c r="U8" s="51">
        <f>SUM(S3:S7)</f>
        <v>0.17440531837540255</v>
      </c>
    </row>
    <row r="9" spans="1:21">
      <c r="A9" s="63" t="s">
        <v>6</v>
      </c>
      <c r="B9" s="46">
        <v>0.69499999999999995</v>
      </c>
      <c r="C9" s="46">
        <v>200</v>
      </c>
      <c r="D9" s="46">
        <f t="shared" ref="D9:D11" si="1">B9*C9</f>
        <v>139</v>
      </c>
      <c r="E9" s="46" t="s">
        <v>90</v>
      </c>
      <c r="F9" s="47">
        <f>B9/D5*1000</f>
        <v>38.611111111111107</v>
      </c>
      <c r="P9">
        <f>P8/D5</f>
        <v>25.552777777777777</v>
      </c>
      <c r="Q9" s="44" t="s">
        <v>106</v>
      </c>
    </row>
    <row r="10" spans="1:21">
      <c r="A10" s="64" t="s">
        <v>7</v>
      </c>
      <c r="B10" s="49">
        <v>2.5049999999999999</v>
      </c>
      <c r="C10" s="49">
        <v>200</v>
      </c>
      <c r="D10" s="49">
        <f t="shared" si="1"/>
        <v>501</v>
      </c>
      <c r="E10" s="49" t="s">
        <v>90</v>
      </c>
      <c r="F10" s="50">
        <f>B10/D5*1000</f>
        <v>139.16666666666666</v>
      </c>
      <c r="P10">
        <f>P8/N8</f>
        <v>54.788564621798677</v>
      </c>
      <c r="Q10" s="44" t="s">
        <v>107</v>
      </c>
    </row>
    <row r="11" spans="1:21">
      <c r="A11" s="65" t="s">
        <v>108</v>
      </c>
      <c r="B11" s="49">
        <v>1.8</v>
      </c>
      <c r="C11" s="49">
        <v>30</v>
      </c>
      <c r="D11" s="49">
        <f t="shared" si="1"/>
        <v>54</v>
      </c>
      <c r="E11" s="49" t="s">
        <v>90</v>
      </c>
      <c r="F11" s="50">
        <f>B11/D5*1000</f>
        <v>100</v>
      </c>
      <c r="J11" t="s">
        <v>93</v>
      </c>
      <c r="M11" t="s">
        <v>109</v>
      </c>
      <c r="P11">
        <v>150</v>
      </c>
      <c r="Q11" s="44" t="s">
        <v>110</v>
      </c>
    </row>
    <row r="12" spans="1:21">
      <c r="A12" s="64" t="s">
        <v>11</v>
      </c>
      <c r="B12" s="49">
        <v>3.5819999999999999</v>
      </c>
      <c r="C12" s="49">
        <v>30</v>
      </c>
      <c r="D12" s="49">
        <f>B12*C12</f>
        <v>107.46</v>
      </c>
      <c r="E12" s="49" t="s">
        <v>90</v>
      </c>
      <c r="F12" s="50">
        <f>B12/D5*1000</f>
        <v>198.99999999999997</v>
      </c>
      <c r="G12">
        <f>F12+F11</f>
        <v>299</v>
      </c>
      <c r="M12" s="44" t="s">
        <v>111</v>
      </c>
      <c r="N12">
        <f>N8*P11</f>
        <v>1259.2500000000002</v>
      </c>
      <c r="O12" t="s">
        <v>112</v>
      </c>
    </row>
    <row r="13" spans="1:21">
      <c r="A13" s="64" t="s">
        <v>9</v>
      </c>
      <c r="B13" s="49">
        <v>3.55</v>
      </c>
      <c r="C13" s="49">
        <v>30</v>
      </c>
      <c r="D13" s="49">
        <f>B13*C13</f>
        <v>106.5</v>
      </c>
      <c r="E13" s="49" t="s">
        <v>90</v>
      </c>
      <c r="F13" s="50">
        <f>B13/D5*1000</f>
        <v>197.22222222222223</v>
      </c>
      <c r="M13" s="44" t="s">
        <v>113</v>
      </c>
      <c r="N13">
        <f>N12/D5</f>
        <v>69.958333333333343</v>
      </c>
      <c r="O13" t="s">
        <v>112</v>
      </c>
    </row>
    <row r="14" spans="1:21">
      <c r="A14" s="66" t="s">
        <v>102</v>
      </c>
      <c r="B14" s="49">
        <v>1.0649999999999999</v>
      </c>
      <c r="C14" s="49">
        <v>30</v>
      </c>
      <c r="D14" s="49">
        <f>B14*C14</f>
        <v>31.95</v>
      </c>
      <c r="E14" s="49" t="s">
        <v>90</v>
      </c>
      <c r="F14" s="50">
        <f>B14/D5*1000</f>
        <v>59.166666666666664</v>
      </c>
    </row>
    <row r="15" spans="1:21" ht="15.75" thickBot="1">
      <c r="A15" s="67" t="s">
        <v>12</v>
      </c>
      <c r="B15" s="60">
        <v>1.2849999999999999</v>
      </c>
      <c r="C15" s="60">
        <v>100</v>
      </c>
      <c r="D15" s="60">
        <f>B15*C15</f>
        <v>128.5</v>
      </c>
      <c r="E15" s="60" t="s">
        <v>90</v>
      </c>
      <c r="F15" s="61">
        <f>B15/D5*1000</f>
        <v>71.388888888888886</v>
      </c>
      <c r="M15" t="s">
        <v>95</v>
      </c>
    </row>
    <row r="16" spans="1:21">
      <c r="A16" s="68" t="s">
        <v>114</v>
      </c>
      <c r="B16">
        <f>SUM(B8:B15)</f>
        <v>16.496999999999996</v>
      </c>
      <c r="D16">
        <f>SUM(D8:D15)</f>
        <v>2075.91</v>
      </c>
      <c r="E16" t="s">
        <v>90</v>
      </c>
      <c r="F16">
        <f>D16/D5</f>
        <v>115.32833333333332</v>
      </c>
      <c r="G16" t="s">
        <v>115</v>
      </c>
      <c r="M16" s="44" t="s">
        <v>116</v>
      </c>
      <c r="Q16" s="44" t="s">
        <v>117</v>
      </c>
    </row>
    <row r="17" spans="1:19">
      <c r="A17" s="68" t="s">
        <v>118</v>
      </c>
      <c r="B17">
        <f>SUM(B9:B15)</f>
        <v>14.482000000000001</v>
      </c>
      <c r="D17">
        <f>SUM(D9:D15)</f>
        <v>1068.4100000000001</v>
      </c>
      <c r="E17" t="s">
        <v>90</v>
      </c>
      <c r="F17">
        <f>D17/D5</f>
        <v>59.356111111111119</v>
      </c>
      <c r="G17" t="s">
        <v>119</v>
      </c>
      <c r="M17" s="44" t="s">
        <v>93</v>
      </c>
      <c r="O17" t="s">
        <v>90</v>
      </c>
      <c r="P17">
        <f>N12</f>
        <v>1259.2500000000002</v>
      </c>
      <c r="Q17">
        <f>P17/D5</f>
        <v>69.958333333333343</v>
      </c>
      <c r="R17" t="s">
        <v>90</v>
      </c>
    </row>
    <row r="18" spans="1:19">
      <c r="A18" s="69" t="s">
        <v>120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t="s">
        <v>5</v>
      </c>
      <c r="N18">
        <v>2.0150000000000001</v>
      </c>
      <c r="O18" t="s">
        <v>90</v>
      </c>
      <c r="P18">
        <v>1007.5</v>
      </c>
      <c r="Q18">
        <f>P18/D5</f>
        <v>55.972222222222221</v>
      </c>
    </row>
    <row r="19" spans="1:19">
      <c r="A19" s="70" t="s">
        <v>2</v>
      </c>
      <c r="B19" s="49">
        <f>B5-B16</f>
        <v>31.638000000000002</v>
      </c>
      <c r="C19" s="49"/>
      <c r="D19" s="49"/>
      <c r="M19" s="7" t="s">
        <v>121</v>
      </c>
      <c r="N19" s="7"/>
      <c r="O19" s="7"/>
      <c r="P19" s="7"/>
      <c r="Q19" s="7"/>
      <c r="R19" s="7"/>
      <c r="S19" s="7"/>
    </row>
    <row r="20" spans="1:19">
      <c r="A20" s="49"/>
      <c r="B20" s="49"/>
      <c r="C20" s="49"/>
      <c r="D20" s="70"/>
      <c r="M20" s="71" t="s">
        <v>122</v>
      </c>
      <c r="N20" s="49">
        <v>2.5</v>
      </c>
      <c r="O20">
        <v>600</v>
      </c>
      <c r="P20">
        <f>O20*N20</f>
        <v>1500</v>
      </c>
      <c r="Q20">
        <f>P20/D5</f>
        <v>83.333333333333329</v>
      </c>
    </row>
    <row r="21" spans="1:19">
      <c r="A21" s="49"/>
      <c r="B21" s="49"/>
      <c r="C21" s="49"/>
      <c r="D21" s="49"/>
      <c r="G21" t="s">
        <v>1</v>
      </c>
      <c r="M21" s="44" t="s">
        <v>21</v>
      </c>
      <c r="N21" s="44">
        <v>4.1319999999999997</v>
      </c>
      <c r="O21">
        <v>350</v>
      </c>
      <c r="P21">
        <f>O21*N21</f>
        <v>1446.1999999999998</v>
      </c>
      <c r="Q21">
        <f>P21/D5</f>
        <v>80.344444444444434</v>
      </c>
    </row>
    <row r="22" spans="1:19">
      <c r="A22" s="49"/>
      <c r="B22" s="49"/>
      <c r="C22" s="49"/>
      <c r="D22" s="49"/>
      <c r="E22" t="s">
        <v>123</v>
      </c>
      <c r="F22" t="s">
        <v>124</v>
      </c>
      <c r="G22">
        <v>312</v>
      </c>
      <c r="M22" s="72" t="s">
        <v>125</v>
      </c>
      <c r="N22" s="7"/>
      <c r="O22" s="7"/>
      <c r="P22">
        <f t="shared" ref="P22:P30" si="2">O22*N22</f>
        <v>0</v>
      </c>
      <c r="Q22" s="7"/>
      <c r="R22" s="7"/>
      <c r="S22" s="7"/>
    </row>
    <row r="23" spans="1:19">
      <c r="A23" t="s">
        <v>169</v>
      </c>
      <c r="C23">
        <f>B17*D23+D16+D17</f>
        <v>17626.320000000003</v>
      </c>
      <c r="D23">
        <v>1000</v>
      </c>
      <c r="E23">
        <f>C23-F5</f>
        <v>3185.8200000000033</v>
      </c>
      <c r="F23">
        <f>E23/B5</f>
        <v>66.185104393892246</v>
      </c>
      <c r="G23">
        <f>F23*G22</f>
        <v>20649.752570894379</v>
      </c>
      <c r="L23" t="s">
        <v>126</v>
      </c>
      <c r="M23" s="73" t="s">
        <v>24</v>
      </c>
      <c r="N23">
        <v>2.2450000000000001</v>
      </c>
      <c r="O23">
        <v>1000</v>
      </c>
      <c r="P23">
        <f t="shared" si="2"/>
        <v>2245</v>
      </c>
      <c r="Q23">
        <f>P23/D5</f>
        <v>124.72222222222223</v>
      </c>
    </row>
    <row r="24" spans="1:19">
      <c r="A24" s="53">
        <f>B5/D5</f>
        <v>2.6741666666666664</v>
      </c>
      <c r="C24">
        <f>B17*D24+D16+D17</f>
        <v>32108.320000000003</v>
      </c>
      <c r="D24">
        <v>2000</v>
      </c>
      <c r="E24">
        <f>C24-F5</f>
        <v>17667.820000000003</v>
      </c>
      <c r="F24">
        <f>E24/B5</f>
        <v>367.04726290640912</v>
      </c>
      <c r="G24">
        <f>F24*G22</f>
        <v>114518.74602679965</v>
      </c>
      <c r="M24" t="s">
        <v>18</v>
      </c>
      <c r="N24">
        <v>3.84</v>
      </c>
      <c r="P24">
        <f t="shared" si="2"/>
        <v>0</v>
      </c>
      <c r="R24">
        <f>N24/18</f>
        <v>0.21333333333333332</v>
      </c>
    </row>
    <row r="25" spans="1:19">
      <c r="M25" s="44" t="s">
        <v>76</v>
      </c>
      <c r="N25">
        <v>1.08</v>
      </c>
      <c r="O25">
        <v>2577</v>
      </c>
      <c r="P25">
        <f t="shared" si="2"/>
        <v>2783.1600000000003</v>
      </c>
      <c r="Q25">
        <f>P25/D5</f>
        <v>154.62</v>
      </c>
    </row>
    <row r="26" spans="1:19">
      <c r="A26" s="1"/>
      <c r="B26" s="56">
        <f>SUM(B27:B32)</f>
        <v>1.1453888888888888</v>
      </c>
      <c r="C26" s="1" t="s">
        <v>2</v>
      </c>
      <c r="D26" s="56">
        <f>SUM(D27:D33)</f>
        <v>100</v>
      </c>
      <c r="E26" s="1"/>
      <c r="F26" s="56">
        <f>SUM(F27:F48)</f>
        <v>1769.8072222222222</v>
      </c>
      <c r="G26" s="18">
        <f>F28+F31+F32+G33</f>
        <v>1796.7888888888888</v>
      </c>
      <c r="H26" s="18" t="s">
        <v>127</v>
      </c>
      <c r="I26" s="74"/>
      <c r="J26" s="74"/>
      <c r="K26" s="74"/>
      <c r="L26" s="74"/>
      <c r="M26" s="44" t="s">
        <v>77</v>
      </c>
      <c r="N26">
        <v>2.1640000000000001</v>
      </c>
      <c r="O26">
        <v>3320</v>
      </c>
      <c r="P26">
        <f t="shared" si="2"/>
        <v>7184.4800000000005</v>
      </c>
      <c r="Q26">
        <f>P26/D5</f>
        <v>399.13777777777779</v>
      </c>
      <c r="S26">
        <f>Q26+Q25+Q27</f>
        <v>600.5577777777778</v>
      </c>
    </row>
    <row r="27" spans="1:19">
      <c r="A27" s="75" t="s">
        <v>97</v>
      </c>
      <c r="B27" s="1">
        <f>R2/1000</f>
        <v>0.19899999999999998</v>
      </c>
      <c r="C27" s="1" t="s">
        <v>2</v>
      </c>
      <c r="D27" s="1">
        <f>B27/A24*100</f>
        <v>7.4415705827360554</v>
      </c>
      <c r="E27" s="1" t="s">
        <v>128</v>
      </c>
      <c r="F27" s="1">
        <f>B27*H27</f>
        <v>0</v>
      </c>
      <c r="G27" s="18"/>
      <c r="H27" s="18"/>
      <c r="I27" s="74"/>
      <c r="J27" s="74"/>
      <c r="K27" s="74">
        <f>H33</f>
        <v>1000</v>
      </c>
      <c r="L27" s="74" t="s">
        <v>90</v>
      </c>
      <c r="M27" s="44" t="s">
        <v>50</v>
      </c>
      <c r="N27">
        <v>0.27</v>
      </c>
      <c r="O27">
        <v>3120</v>
      </c>
      <c r="P27">
        <f t="shared" si="2"/>
        <v>842.40000000000009</v>
      </c>
      <c r="Q27">
        <f>P27/D5</f>
        <v>46.800000000000004</v>
      </c>
    </row>
    <row r="28" spans="1:19">
      <c r="A28" s="81" t="s">
        <v>129</v>
      </c>
      <c r="B28" s="81">
        <v>0.46600000000000003</v>
      </c>
      <c r="C28" s="81" t="s">
        <v>2</v>
      </c>
      <c r="D28" s="81">
        <f>B28/A24*100</f>
        <v>17.425989404799004</v>
      </c>
      <c r="E28" s="1" t="s">
        <v>128</v>
      </c>
      <c r="F28" s="1">
        <f>B28*H28</f>
        <v>69.900000000000006</v>
      </c>
      <c r="G28" s="1" t="s">
        <v>90</v>
      </c>
      <c r="H28" s="1">
        <v>150</v>
      </c>
      <c r="M28" s="44" t="s">
        <v>130</v>
      </c>
      <c r="N28">
        <v>4.6959999999999997</v>
      </c>
      <c r="O28">
        <v>3120</v>
      </c>
      <c r="P28">
        <f t="shared" si="2"/>
        <v>14651.519999999999</v>
      </c>
      <c r="Q28">
        <f>P28/D5</f>
        <v>813.97333333333324</v>
      </c>
    </row>
    <row r="29" spans="1:19">
      <c r="A29" s="1" t="s">
        <v>5</v>
      </c>
      <c r="B29" s="1">
        <f>N18/D5</f>
        <v>0.11194444444444446</v>
      </c>
      <c r="C29" s="1" t="s">
        <v>2</v>
      </c>
      <c r="D29" s="1">
        <f>B29/A24*100</f>
        <v>4.1861431390879824</v>
      </c>
      <c r="E29" s="1" t="s">
        <v>128</v>
      </c>
      <c r="F29" s="1">
        <f>B29*H29</f>
        <v>16.791666666666668</v>
      </c>
      <c r="G29" s="1" t="s">
        <v>90</v>
      </c>
      <c r="H29" s="1">
        <v>150</v>
      </c>
      <c r="M29" s="44" t="s">
        <v>25</v>
      </c>
      <c r="N29">
        <v>1.5840000000000001</v>
      </c>
      <c r="P29">
        <f t="shared" si="2"/>
        <v>0</v>
      </c>
    </row>
    <row r="30" spans="1:19">
      <c r="A30" s="76" t="s">
        <v>121</v>
      </c>
      <c r="B30" s="1"/>
      <c r="C30" s="1"/>
      <c r="D30" s="1"/>
      <c r="E30" s="1"/>
      <c r="F30" s="1"/>
      <c r="G30" s="1"/>
      <c r="H30" s="1"/>
      <c r="M30" s="44" t="s">
        <v>28</v>
      </c>
      <c r="N30">
        <v>0.254</v>
      </c>
      <c r="P30">
        <f t="shared" si="2"/>
        <v>0</v>
      </c>
      <c r="Q30" t="s">
        <v>131</v>
      </c>
    </row>
    <row r="31" spans="1:19">
      <c r="A31" s="77" t="s">
        <v>122</v>
      </c>
      <c r="B31" s="1">
        <f>N20/D5</f>
        <v>0.1388888888888889</v>
      </c>
      <c r="C31" s="1" t="s">
        <v>2</v>
      </c>
      <c r="D31" s="1">
        <f>B31/A24*100</f>
        <v>5.1937259790173478</v>
      </c>
      <c r="E31" s="1" t="s">
        <v>128</v>
      </c>
      <c r="F31" s="1">
        <f>B31*H31</f>
        <v>83.333333333333343</v>
      </c>
      <c r="G31" s="1" t="s">
        <v>90</v>
      </c>
      <c r="H31" s="1">
        <v>600</v>
      </c>
      <c r="L31">
        <f>SUM(N23:N30)</f>
        <v>16.132999999999999</v>
      </c>
    </row>
    <row r="32" spans="1:19">
      <c r="A32" s="81" t="s">
        <v>21</v>
      </c>
      <c r="B32" s="81">
        <f>N21/D5</f>
        <v>0.22955555555555554</v>
      </c>
      <c r="C32" s="81" t="s">
        <v>2</v>
      </c>
      <c r="D32" s="81">
        <f>B32/A24*100</f>
        <v>8.5841902981198714</v>
      </c>
      <c r="E32" s="1" t="s">
        <v>128</v>
      </c>
      <c r="F32" s="1">
        <f>B32*H32</f>
        <v>114.77777777777777</v>
      </c>
      <c r="G32" s="1" t="s">
        <v>90</v>
      </c>
      <c r="H32" s="1">
        <v>500</v>
      </c>
      <c r="M32" t="s">
        <v>132</v>
      </c>
      <c r="N32">
        <f>N28+N27+N26+N25+N23+N21+N20</f>
        <v>17.086999999999996</v>
      </c>
      <c r="O32" t="s">
        <v>2</v>
      </c>
      <c r="P32" t="s">
        <v>133</v>
      </c>
      <c r="Q32" t="s">
        <v>134</v>
      </c>
    </row>
    <row r="33" spans="1:24">
      <c r="A33" s="76" t="s">
        <v>135</v>
      </c>
      <c r="B33" s="1">
        <f>A24-B26</f>
        <v>1.5287777777777776</v>
      </c>
      <c r="C33" s="1" t="s">
        <v>2</v>
      </c>
      <c r="D33" s="1">
        <f>B33/A24*100</f>
        <v>57.168380596239743</v>
      </c>
      <c r="E33" s="1" t="s">
        <v>128</v>
      </c>
      <c r="F33" s="1"/>
      <c r="G33" s="1">
        <f>B33*H33</f>
        <v>1528.7777777777776</v>
      </c>
      <c r="H33" s="1">
        <v>1000</v>
      </c>
      <c r="I33">
        <f>N23+N25+N26+N27+N28</f>
        <v>10.455</v>
      </c>
      <c r="M33" t="s">
        <v>136</v>
      </c>
      <c r="N33">
        <f>N8+N20+N21+N23+N24+N25+N26+N27+N28+N29+N30+N18</f>
        <v>33.175000000000004</v>
      </c>
      <c r="P33">
        <f>SUM(P17:P32)</f>
        <v>32919.51</v>
      </c>
      <c r="Q33">
        <f>SUM(Q17:Q32)</f>
        <v>1828.8616666666667</v>
      </c>
      <c r="R33" t="s">
        <v>137</v>
      </c>
      <c r="V33">
        <f>Q33*400</f>
        <v>731544.66666666663</v>
      </c>
      <c r="W33" t="s">
        <v>138</v>
      </c>
    </row>
    <row r="34" spans="1:24">
      <c r="A34" s="76" t="s">
        <v>125</v>
      </c>
      <c r="B34" s="1"/>
      <c r="C34" s="1"/>
      <c r="D34" s="1"/>
      <c r="E34" s="1"/>
      <c r="F34" s="1"/>
      <c r="G34" s="1"/>
      <c r="H34" s="1"/>
      <c r="I34">
        <v>18</v>
      </c>
      <c r="Q34">
        <f>Q33-F6</f>
        <v>1026.6116666666667</v>
      </c>
      <c r="R34" t="s">
        <v>139</v>
      </c>
    </row>
    <row r="35" spans="1:24">
      <c r="A35" s="1" t="s">
        <v>18</v>
      </c>
      <c r="B35" s="1">
        <f>N24/D5</f>
        <v>0.21333333333333332</v>
      </c>
      <c r="C35" s="1" t="s">
        <v>2</v>
      </c>
      <c r="D35" s="1">
        <f>B35/A24*100</f>
        <v>7.9775631037706445</v>
      </c>
      <c r="E35" s="1" t="s">
        <v>128</v>
      </c>
      <c r="F35" s="1"/>
      <c r="G35" s="1"/>
      <c r="H35" s="1"/>
      <c r="I35">
        <f>I33/I34</f>
        <v>0.58083333333333331</v>
      </c>
      <c r="K35">
        <f>P35/I33</f>
        <v>2650.0774748923959</v>
      </c>
      <c r="M35" t="s">
        <v>17</v>
      </c>
      <c r="N35">
        <f>B5-N8-N18</f>
        <v>37.724999999999994</v>
      </c>
      <c r="P35">
        <f>SUM(P23:P28)</f>
        <v>27706.559999999998</v>
      </c>
    </row>
    <row r="36" spans="1:24">
      <c r="A36" s="42" t="s">
        <v>25</v>
      </c>
      <c r="B36" s="1">
        <f>N29/D5</f>
        <v>8.8000000000000009E-2</v>
      </c>
      <c r="C36" s="1" t="s">
        <v>2</v>
      </c>
      <c r="D36" s="1">
        <f>B36/A24*100</f>
        <v>3.290744780305392</v>
      </c>
      <c r="E36" s="1" t="s">
        <v>128</v>
      </c>
      <c r="F36" s="1"/>
      <c r="G36" s="1"/>
      <c r="H36" s="1"/>
      <c r="Q36">
        <v>400</v>
      </c>
      <c r="R36" t="s">
        <v>140</v>
      </c>
      <c r="V36">
        <f>I35*Q36</f>
        <v>232.33333333333331</v>
      </c>
      <c r="W36" t="s">
        <v>141</v>
      </c>
      <c r="X36">
        <f>V36*K35</f>
        <v>615701.33333333326</v>
      </c>
    </row>
    <row r="37" spans="1:24">
      <c r="A37" s="78" t="s">
        <v>142</v>
      </c>
      <c r="B37" s="79">
        <f>SUM(B35:B36)</f>
        <v>0.30133333333333334</v>
      </c>
      <c r="D37">
        <f>B37/A24*100</f>
        <v>11.268307884076039</v>
      </c>
      <c r="Q37">
        <f>Q34*Q36</f>
        <v>410644.66666666669</v>
      </c>
      <c r="R37" t="s">
        <v>143</v>
      </c>
    </row>
    <row r="38" spans="1:24">
      <c r="A38" s="82" t="s">
        <v>144</v>
      </c>
      <c r="B38" s="82">
        <f>N23/D5</f>
        <v>0.12472222222222223</v>
      </c>
      <c r="C38" s="82" t="s">
        <v>2</v>
      </c>
      <c r="D38" s="82">
        <f>B38/A24*100</f>
        <v>4.6639659291575786</v>
      </c>
      <c r="E38" s="1" t="s">
        <v>128</v>
      </c>
      <c r="F38" s="1">
        <f>B38*H38</f>
        <v>249.44444444444446</v>
      </c>
      <c r="G38" s="1"/>
      <c r="H38" s="1">
        <v>2000</v>
      </c>
      <c r="I38">
        <f>H38*1.3</f>
        <v>2600</v>
      </c>
    </row>
    <row r="39" spans="1:24">
      <c r="A39" s="42" t="s">
        <v>76</v>
      </c>
      <c r="B39" s="1">
        <f>N25/D5</f>
        <v>6.0000000000000005E-2</v>
      </c>
      <c r="C39" s="1" t="s">
        <v>2</v>
      </c>
      <c r="D39" s="1">
        <f>B39/A24*100</f>
        <v>2.2436896229354941</v>
      </c>
      <c r="E39" s="1" t="s">
        <v>128</v>
      </c>
      <c r="F39" s="1">
        <f>B39*H39</f>
        <v>154.20000000000002</v>
      </c>
      <c r="G39" s="1"/>
      <c r="H39" s="1">
        <v>2570</v>
      </c>
      <c r="I39">
        <f>H39*1.3</f>
        <v>3341</v>
      </c>
      <c r="Q39" t="s">
        <v>145</v>
      </c>
    </row>
    <row r="40" spans="1:24">
      <c r="A40" s="42" t="s">
        <v>77</v>
      </c>
      <c r="B40" s="1">
        <f>N26/D5</f>
        <v>0.12022222222222223</v>
      </c>
      <c r="C40" s="1" t="s">
        <v>2</v>
      </c>
      <c r="D40" s="1">
        <f>B40/A24*100</f>
        <v>4.4956892074374162</v>
      </c>
      <c r="E40" s="1" t="s">
        <v>128</v>
      </c>
      <c r="F40" s="1">
        <f>B40*H40</f>
        <v>399.13777777777779</v>
      </c>
      <c r="G40" s="1"/>
      <c r="H40" s="1">
        <v>3320</v>
      </c>
      <c r="I40">
        <f>H40*1.3</f>
        <v>4316</v>
      </c>
      <c r="M40">
        <v>170</v>
      </c>
      <c r="N40" t="s">
        <v>146</v>
      </c>
      <c r="Q40">
        <v>56000</v>
      </c>
      <c r="R40" t="s">
        <v>147</v>
      </c>
    </row>
    <row r="41" spans="1:24">
      <c r="A41" s="82" t="s">
        <v>165</v>
      </c>
      <c r="B41" s="82">
        <f>N27/D5</f>
        <v>1.5000000000000001E-2</v>
      </c>
      <c r="C41" s="82" t="s">
        <v>2</v>
      </c>
      <c r="D41" s="82">
        <f>B41/A24*100</f>
        <v>0.56092240573387353</v>
      </c>
      <c r="E41" s="1" t="s">
        <v>128</v>
      </c>
      <c r="F41" s="1">
        <f>B41*H41</f>
        <v>30.000000000000004</v>
      </c>
      <c r="G41" s="1"/>
      <c r="H41" s="1">
        <v>2000</v>
      </c>
      <c r="I41">
        <f t="shared" ref="I41:I42" si="3">H41*1.3</f>
        <v>2600</v>
      </c>
      <c r="M41">
        <v>5</v>
      </c>
      <c r="N41" t="s">
        <v>90</v>
      </c>
      <c r="Q41">
        <v>50000</v>
      </c>
      <c r="R41" t="s">
        <v>148</v>
      </c>
    </row>
    <row r="42" spans="1:24">
      <c r="A42" s="42" t="s">
        <v>130</v>
      </c>
      <c r="B42" s="1">
        <f>N28/D5</f>
        <v>0.26088888888888889</v>
      </c>
      <c r="C42" s="1" t="s">
        <v>2</v>
      </c>
      <c r="D42" s="1">
        <f>B42/A24*100</f>
        <v>9.7558948789861866</v>
      </c>
      <c r="E42" s="1" t="s">
        <v>128</v>
      </c>
      <c r="F42" s="1">
        <f>B42*H42</f>
        <v>652.22222222222229</v>
      </c>
      <c r="G42" s="1"/>
      <c r="H42" s="1">
        <v>2500</v>
      </c>
      <c r="I42">
        <f t="shared" si="3"/>
        <v>3250</v>
      </c>
      <c r="M42">
        <v>17</v>
      </c>
      <c r="N42" t="s">
        <v>149</v>
      </c>
      <c r="Q42">
        <f>M42*M41*Q36</f>
        <v>34000</v>
      </c>
      <c r="R42" t="s">
        <v>150</v>
      </c>
    </row>
    <row r="43" spans="1:24">
      <c r="A43" s="1"/>
      <c r="B43" s="1"/>
      <c r="C43" s="1" t="s">
        <v>2</v>
      </c>
      <c r="D43" s="1"/>
      <c r="E43" s="1" t="s">
        <v>128</v>
      </c>
      <c r="F43" s="1"/>
      <c r="G43" s="1"/>
      <c r="H43" s="1"/>
      <c r="Q43">
        <v>20000</v>
      </c>
      <c r="R43" t="s">
        <v>151</v>
      </c>
    </row>
    <row r="44" spans="1:24">
      <c r="A44" s="1" t="s">
        <v>95</v>
      </c>
      <c r="B44" s="1">
        <f>SUM(B38:B43)</f>
        <v>0.58083333333333331</v>
      </c>
      <c r="C44" s="1" t="s">
        <v>2</v>
      </c>
      <c r="D44" s="1">
        <f>SUM(D38:D43)</f>
        <v>21.72016204425055</v>
      </c>
      <c r="E44" s="1" t="s">
        <v>128</v>
      </c>
      <c r="G44" s="1">
        <f>B44*H44</f>
        <v>1161.6666666666665</v>
      </c>
      <c r="H44" s="1">
        <v>2000</v>
      </c>
    </row>
    <row r="45" spans="1:24">
      <c r="A45" s="1"/>
      <c r="B45" s="1"/>
      <c r="C45" s="1"/>
      <c r="D45" s="1"/>
      <c r="E45" s="1" t="s">
        <v>128</v>
      </c>
      <c r="F45" s="1"/>
      <c r="G45" s="1"/>
      <c r="H45" s="1"/>
      <c r="Q45">
        <f>Q37-Q40-Q41-Q42-Q43</f>
        <v>250644.66666666669</v>
      </c>
      <c r="R45" t="s">
        <v>152</v>
      </c>
      <c r="S45" t="s">
        <v>153</v>
      </c>
    </row>
    <row r="46" spans="1:24">
      <c r="A46" s="1">
        <f>B44+B37</f>
        <v>0.88216666666666665</v>
      </c>
      <c r="B46" s="1">
        <f>B44/B33</f>
        <v>0.37993313467548517</v>
      </c>
      <c r="C46" s="1" t="s">
        <v>128</v>
      </c>
      <c r="D46" s="1"/>
      <c r="E46" s="1" t="s">
        <v>128</v>
      </c>
      <c r="F46" s="1"/>
      <c r="G46" s="1"/>
      <c r="H46" s="1"/>
      <c r="Q46">
        <v>47570</v>
      </c>
      <c r="R46" t="s">
        <v>154</v>
      </c>
    </row>
    <row r="47" spans="1:24">
      <c r="A47" s="1"/>
      <c r="B47" s="1"/>
      <c r="C47" s="1"/>
      <c r="D47" s="1"/>
      <c r="E47" s="1" t="s">
        <v>128</v>
      </c>
      <c r="F47" s="1"/>
      <c r="G47" s="1"/>
      <c r="H47" s="1"/>
      <c r="K47">
        <v>6917</v>
      </c>
      <c r="L47">
        <f>K47*M41</f>
        <v>34585</v>
      </c>
      <c r="Q47">
        <v>20000</v>
      </c>
      <c r="R47" t="s">
        <v>155</v>
      </c>
    </row>
    <row r="48" spans="1:24">
      <c r="A48" s="1"/>
      <c r="B48" s="1"/>
      <c r="C48" s="1"/>
      <c r="D48" s="1"/>
      <c r="E48" s="1" t="s">
        <v>128</v>
      </c>
      <c r="F48" s="1"/>
      <c r="G48" s="1"/>
      <c r="H48" s="1"/>
      <c r="Q48">
        <f>Q46-Q47</f>
        <v>27570</v>
      </c>
      <c r="R48" t="s">
        <v>156</v>
      </c>
      <c r="T48">
        <v>3</v>
      </c>
      <c r="U48">
        <f>Q48*T48</f>
        <v>82710</v>
      </c>
      <c r="V48">
        <v>12</v>
      </c>
      <c r="W48">
        <f>U48/V48</f>
        <v>6892.5</v>
      </c>
      <c r="X48" t="s">
        <v>152</v>
      </c>
    </row>
    <row r="49" spans="1:21">
      <c r="A49" s="1"/>
      <c r="B49" s="1"/>
      <c r="C49" s="1"/>
      <c r="D49" s="1"/>
      <c r="E49" s="1"/>
      <c r="F49" s="1"/>
      <c r="G49" s="1"/>
      <c r="H49" s="1"/>
      <c r="Q49">
        <f>Q45-Q48</f>
        <v>223074.66666666669</v>
      </c>
      <c r="R49" t="s">
        <v>157</v>
      </c>
    </row>
    <row r="50" spans="1:21">
      <c r="A50" s="1"/>
      <c r="B50" s="1"/>
      <c r="C50" s="1"/>
      <c r="D50" s="1"/>
      <c r="E50" s="1"/>
      <c r="F50" s="1"/>
      <c r="G50" s="1"/>
      <c r="H50" s="1"/>
    </row>
    <row r="51" spans="1:21">
      <c r="A51" s="1"/>
      <c r="B51" s="1"/>
      <c r="C51" s="1"/>
      <c r="D51" s="1"/>
      <c r="E51" s="1"/>
      <c r="G51" s="1">
        <f>SUM(F28:F33)+G44</f>
        <v>1446.4694444444444</v>
      </c>
      <c r="H51" s="1" t="s">
        <v>158</v>
      </c>
      <c r="L51">
        <f>H44</f>
        <v>2000</v>
      </c>
      <c r="Q51" s="80"/>
    </row>
    <row r="52" spans="1:21">
      <c r="D52">
        <f>B39+B40</f>
        <v>0.18022222222222223</v>
      </c>
    </row>
    <row r="53" spans="1:21">
      <c r="A53" t="s">
        <v>169</v>
      </c>
    </row>
    <row r="54" spans="1:21">
      <c r="A54" s="1"/>
      <c r="B54" s="1">
        <v>0.97976190476190472</v>
      </c>
      <c r="C54" s="1" t="s">
        <v>2</v>
      </c>
      <c r="D54" s="1">
        <v>100</v>
      </c>
      <c r="E54" s="1"/>
      <c r="F54" s="1">
        <v>1636.632380952381</v>
      </c>
      <c r="G54" s="1">
        <v>2165.4880952380954</v>
      </c>
      <c r="H54" s="1" t="s">
        <v>127</v>
      </c>
      <c r="I54" s="1"/>
      <c r="J54" s="1"/>
      <c r="K54" s="1" t="e">
        <v>#REF!</v>
      </c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1" t="s">
        <v>97</v>
      </c>
      <c r="B55" s="1">
        <v>0.2392857142857143</v>
      </c>
      <c r="C55" s="1" t="s">
        <v>2</v>
      </c>
      <c r="D55" s="1">
        <v>8.176049463065409</v>
      </c>
      <c r="E55" s="1" t="s">
        <v>128</v>
      </c>
      <c r="F55" s="1">
        <v>0</v>
      </c>
      <c r="G55" s="1"/>
      <c r="H55" s="1"/>
      <c r="I55" s="1"/>
      <c r="J55" s="1"/>
      <c r="K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1" t="s">
        <v>129</v>
      </c>
      <c r="B56" s="1">
        <v>0.34404761904761905</v>
      </c>
      <c r="C56" s="1" t="s">
        <v>2</v>
      </c>
      <c r="D56" s="1">
        <v>11.755613407094044</v>
      </c>
      <c r="E56" s="1" t="s">
        <v>128</v>
      </c>
      <c r="F56" s="1">
        <v>51.607142857142854</v>
      </c>
      <c r="G56" s="1" t="s">
        <v>90</v>
      </c>
      <c r="H56" s="1">
        <v>150</v>
      </c>
      <c r="I56" s="1"/>
      <c r="J56" s="1"/>
      <c r="K56" s="1"/>
      <c r="M56" s="1"/>
      <c r="N56" s="1"/>
      <c r="O56" s="1"/>
      <c r="P56" s="1"/>
      <c r="Q56" s="1"/>
      <c r="R56" s="1"/>
      <c r="S56" s="1"/>
      <c r="T56" s="1"/>
      <c r="U56" s="1"/>
    </row>
    <row r="57" spans="1:21">
      <c r="A57" s="1" t="s">
        <v>5</v>
      </c>
      <c r="B57" s="1">
        <v>8.4999999999999992E-2</v>
      </c>
      <c r="C57" s="1" t="s">
        <v>2</v>
      </c>
      <c r="D57" s="1">
        <v>2.9043280182232341</v>
      </c>
      <c r="E57" s="1" t="s">
        <v>128</v>
      </c>
      <c r="F57" s="1">
        <v>12.749999999999998</v>
      </c>
      <c r="G57" s="1" t="s">
        <v>90</v>
      </c>
      <c r="H57" s="1">
        <v>150</v>
      </c>
      <c r="I57" s="1"/>
      <c r="J57" s="1"/>
      <c r="K57" s="1"/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A58" s="81" t="s">
        <v>121</v>
      </c>
      <c r="B58" s="81"/>
      <c r="C58" s="81"/>
      <c r="D58" s="81"/>
      <c r="E58" s="1"/>
      <c r="F58" s="1"/>
      <c r="G58" s="1"/>
      <c r="H58" s="1"/>
      <c r="I58" s="1"/>
      <c r="J58" s="1"/>
      <c r="K58" s="1"/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A59" s="1" t="s">
        <v>122</v>
      </c>
      <c r="B59" s="1">
        <v>0.11261904761904763</v>
      </c>
      <c r="C59" s="1" t="s">
        <v>2</v>
      </c>
      <c r="D59" s="1">
        <v>3.8480312398307848</v>
      </c>
      <c r="E59" s="1" t="s">
        <v>128</v>
      </c>
      <c r="F59" s="1">
        <v>67.571428571428584</v>
      </c>
      <c r="G59" s="1" t="s">
        <v>90</v>
      </c>
      <c r="H59" s="1">
        <v>600</v>
      </c>
      <c r="I59" s="1"/>
      <c r="J59" s="1"/>
      <c r="K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1" t="s">
        <v>21</v>
      </c>
      <c r="B60" s="1">
        <v>0.1988095238095238</v>
      </c>
      <c r="C60" s="1" t="s">
        <v>2</v>
      </c>
      <c r="D60" s="1">
        <v>6.7930361210543442</v>
      </c>
      <c r="E60" s="1" t="s">
        <v>128</v>
      </c>
      <c r="F60" s="1">
        <v>99.404761904761898</v>
      </c>
      <c r="G60" s="1" t="s">
        <v>90</v>
      </c>
      <c r="H60" s="1">
        <v>500</v>
      </c>
      <c r="I60" s="1"/>
      <c r="J60" s="1"/>
      <c r="K60" s="1"/>
      <c r="M60" s="1"/>
      <c r="N60" s="1"/>
      <c r="O60" s="1"/>
      <c r="P60" s="1"/>
      <c r="Q60" s="1"/>
      <c r="R60" s="1"/>
      <c r="S60" s="1"/>
      <c r="T60" s="1"/>
      <c r="U60" s="1"/>
    </row>
    <row r="61" spans="1:21">
      <c r="A61" s="1" t="s">
        <v>135</v>
      </c>
      <c r="B61" s="1">
        <v>1.9469047619047619</v>
      </c>
      <c r="C61" s="1" t="s">
        <v>2</v>
      </c>
      <c r="D61" s="1">
        <v>66.522941750732173</v>
      </c>
      <c r="E61" s="1" t="s">
        <v>128</v>
      </c>
      <c r="F61" s="1"/>
      <c r="G61" s="1">
        <v>1946.9047619047619</v>
      </c>
      <c r="H61" s="1">
        <v>1000</v>
      </c>
      <c r="I61" s="1"/>
      <c r="J61" s="1"/>
      <c r="K61" s="1"/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A62" s="81" t="s">
        <v>125</v>
      </c>
      <c r="B62" s="81"/>
      <c r="C62" s="81"/>
      <c r="D62" s="81"/>
      <c r="E62" s="1"/>
      <c r="F62" s="1"/>
      <c r="G62" s="1"/>
      <c r="H62" s="1"/>
      <c r="I62" s="1"/>
      <c r="J62" s="1"/>
      <c r="K62" s="1"/>
      <c r="M62" s="1"/>
      <c r="N62" s="1"/>
      <c r="O62" s="1"/>
      <c r="P62" s="1"/>
      <c r="Q62" s="1"/>
      <c r="R62" s="1"/>
      <c r="S62" s="1"/>
      <c r="T62" s="1"/>
      <c r="U62" s="1"/>
    </row>
    <row r="63" spans="1:21">
      <c r="A63" s="1" t="s">
        <v>18</v>
      </c>
      <c r="B63" s="1">
        <v>0.22380952380952382</v>
      </c>
      <c r="C63" s="1" t="s">
        <v>2</v>
      </c>
      <c r="D63" s="1">
        <v>7.647250244061178</v>
      </c>
      <c r="E63" s="1" t="s">
        <v>128</v>
      </c>
      <c r="F63" s="1"/>
      <c r="G63" s="1"/>
      <c r="H63" s="1"/>
      <c r="I63" s="1" t="s">
        <v>138</v>
      </c>
      <c r="J63" s="1"/>
      <c r="K63" s="1"/>
      <c r="M63" s="1"/>
      <c r="N63" s="1"/>
      <c r="O63" s="1"/>
      <c r="P63" s="1"/>
      <c r="Q63" s="1"/>
      <c r="R63" s="1"/>
      <c r="S63" s="1"/>
      <c r="T63" s="1"/>
      <c r="U63" s="1"/>
    </row>
    <row r="64" spans="1:21">
      <c r="A64" s="1" t="s">
        <v>25</v>
      </c>
      <c r="B64" s="1">
        <v>7.8285714285714278E-2</v>
      </c>
      <c r="C64" s="1" t="s">
        <v>2</v>
      </c>
      <c r="D64" s="1">
        <v>2.6749105109013991</v>
      </c>
      <c r="E64" s="1" t="s">
        <v>128</v>
      </c>
      <c r="F64" s="1"/>
      <c r="G64" s="1"/>
      <c r="H64" s="1"/>
      <c r="I64" s="1"/>
      <c r="J64" s="1"/>
      <c r="K64" s="1"/>
      <c r="M64" s="1"/>
      <c r="N64" s="1"/>
      <c r="O64" s="1"/>
      <c r="P64" s="1"/>
      <c r="Q64" s="1"/>
      <c r="R64" s="1"/>
      <c r="S64" s="1"/>
      <c r="T64" s="1"/>
      <c r="U64" s="1"/>
    </row>
    <row r="65" spans="1:21">
      <c r="A65" s="1" t="s">
        <v>142</v>
      </c>
      <c r="B65" s="1">
        <v>0.30209523809523808</v>
      </c>
      <c r="C65" s="1"/>
      <c r="D65" s="1">
        <v>10.322160754962576</v>
      </c>
      <c r="E65" s="1"/>
      <c r="F65" s="1"/>
      <c r="G65" s="1"/>
      <c r="H65" s="1"/>
      <c r="I65" s="1"/>
      <c r="J65" s="1"/>
      <c r="K65" s="1"/>
      <c r="M65" s="1"/>
      <c r="N65" s="1"/>
      <c r="O65" s="1"/>
      <c r="P65" s="1"/>
      <c r="Q65" s="1"/>
      <c r="R65" s="1"/>
      <c r="S65" s="1"/>
      <c r="T65" s="1"/>
      <c r="U65" s="1"/>
    </row>
    <row r="66" spans="1:21">
      <c r="A66" s="1" t="s">
        <v>144</v>
      </c>
      <c r="B66" s="1">
        <v>0.14838095238095239</v>
      </c>
      <c r="C66" s="1" t="s">
        <v>2</v>
      </c>
      <c r="D66" s="1">
        <v>5.0699642043605602</v>
      </c>
      <c r="E66" s="1" t="s">
        <v>128</v>
      </c>
      <c r="F66" s="1">
        <v>296.76190476190476</v>
      </c>
      <c r="G66" s="1"/>
      <c r="H66" s="1">
        <v>2000</v>
      </c>
      <c r="I66" s="1"/>
      <c r="J66" s="1"/>
      <c r="K66" s="1"/>
      <c r="M66" s="1"/>
      <c r="N66" s="1"/>
      <c r="O66" s="1"/>
      <c r="P66" s="1"/>
      <c r="Q66" s="1"/>
      <c r="R66" s="1"/>
      <c r="S66" s="1"/>
      <c r="T66" s="1"/>
      <c r="U66" s="1"/>
    </row>
    <row r="67" spans="1:21">
      <c r="A67" s="1" t="s">
        <v>76</v>
      </c>
      <c r="B67" s="1">
        <v>0.124</v>
      </c>
      <c r="C67" s="1" t="s">
        <v>2</v>
      </c>
      <c r="D67" s="1">
        <v>4.236902050113895</v>
      </c>
      <c r="E67" s="1" t="s">
        <v>128</v>
      </c>
      <c r="F67" s="1">
        <v>318.68</v>
      </c>
      <c r="G67" s="1"/>
      <c r="H67" s="1">
        <v>2570</v>
      </c>
      <c r="I67" s="1"/>
      <c r="J67" s="1"/>
      <c r="K67" s="1"/>
      <c r="M67" s="1"/>
      <c r="N67" s="1"/>
      <c r="O67" s="1"/>
      <c r="P67" s="1"/>
      <c r="Q67" s="1"/>
      <c r="R67" s="1"/>
      <c r="S67" s="1"/>
      <c r="T67" s="1"/>
      <c r="U67" s="1"/>
    </row>
    <row r="68" spans="1:21">
      <c r="A68" s="82" t="s">
        <v>77</v>
      </c>
      <c r="B68" s="82">
        <v>7.6190476190476197E-2</v>
      </c>
      <c r="C68" s="82" t="s">
        <v>2</v>
      </c>
      <c r="D68" s="82">
        <v>2.6033192320208265</v>
      </c>
      <c r="E68" s="1" t="s">
        <v>128</v>
      </c>
      <c r="F68" s="1">
        <v>252.95238095238096</v>
      </c>
      <c r="G68" s="1"/>
      <c r="H68" s="1">
        <v>3320</v>
      </c>
      <c r="I68" s="1"/>
      <c r="J68" s="1"/>
      <c r="K68" s="1"/>
      <c r="M68" s="1"/>
      <c r="N68" s="1"/>
      <c r="O68" s="1"/>
      <c r="P68" s="1"/>
      <c r="Q68" s="1"/>
      <c r="R68" s="1"/>
      <c r="S68" s="1"/>
      <c r="T68" s="1"/>
      <c r="U68" s="1"/>
    </row>
    <row r="69" spans="1:21">
      <c r="A69" s="1" t="s">
        <v>165</v>
      </c>
      <c r="B69" s="1">
        <v>0</v>
      </c>
      <c r="C69" s="1" t="s">
        <v>2</v>
      </c>
      <c r="D69" s="1">
        <v>0</v>
      </c>
      <c r="E69" s="1" t="s">
        <v>128</v>
      </c>
      <c r="F69" s="1">
        <v>0</v>
      </c>
      <c r="G69" s="1"/>
      <c r="H69" s="1">
        <v>2000</v>
      </c>
      <c r="I69" s="1"/>
      <c r="J69" s="1"/>
      <c r="K69" s="1"/>
      <c r="M69" s="1"/>
      <c r="N69" s="1"/>
      <c r="O69" s="1"/>
      <c r="P69" s="1"/>
      <c r="Q69" s="1"/>
      <c r="R69" s="1"/>
      <c r="S69" s="1"/>
      <c r="T69" s="1"/>
      <c r="U69" s="1"/>
    </row>
    <row r="70" spans="1:21">
      <c r="A70" s="1" t="s">
        <v>130</v>
      </c>
      <c r="B70" s="1">
        <v>0.21476190476190476</v>
      </c>
      <c r="C70" s="1" t="s">
        <v>2</v>
      </c>
      <c r="D70" s="1">
        <v>7.3381060852587039</v>
      </c>
      <c r="E70" s="1" t="s">
        <v>128</v>
      </c>
      <c r="F70" s="1">
        <v>536.90476190476193</v>
      </c>
      <c r="G70" s="1"/>
      <c r="H70" s="1">
        <v>2500</v>
      </c>
      <c r="I70" s="1"/>
      <c r="J70" s="1"/>
      <c r="K70" s="1"/>
      <c r="M70" s="1"/>
      <c r="N70" s="1"/>
      <c r="O70" s="1"/>
      <c r="P70" s="1"/>
      <c r="Q70" s="1"/>
      <c r="R70" s="1"/>
      <c r="S70" s="1"/>
      <c r="T70" s="1"/>
      <c r="U70" s="1"/>
    </row>
    <row r="71" spans="1:21">
      <c r="A71" s="1"/>
      <c r="B71" s="1"/>
      <c r="C71" s="1" t="s">
        <v>2</v>
      </c>
      <c r="D71" s="1"/>
      <c r="E71" s="1" t="s">
        <v>128</v>
      </c>
      <c r="F71" s="1"/>
      <c r="G71" s="1"/>
      <c r="H71" s="1"/>
      <c r="I71" s="1"/>
      <c r="J71" s="1"/>
      <c r="K71" s="1"/>
      <c r="M71" s="1"/>
      <c r="N71" s="1"/>
      <c r="O71" s="1"/>
      <c r="P71" s="1"/>
      <c r="Q71" s="1"/>
      <c r="R71" s="1"/>
      <c r="S71" s="1"/>
      <c r="T71" s="1"/>
      <c r="U71" s="1"/>
    </row>
    <row r="72" spans="1:21">
      <c r="A72" s="1" t="s">
        <v>95</v>
      </c>
      <c r="B72" s="1">
        <v>0.56333333333333335</v>
      </c>
      <c r="C72" s="1" t="s">
        <v>2</v>
      </c>
      <c r="D72" s="1">
        <v>19.248291571753985</v>
      </c>
      <c r="E72" s="1" t="s">
        <v>128</v>
      </c>
      <c r="F72" s="1"/>
      <c r="G72" s="1">
        <v>1126.6666666666667</v>
      </c>
      <c r="H72" s="1">
        <v>2000</v>
      </c>
      <c r="I72" s="1"/>
      <c r="J72" s="1"/>
      <c r="K72" s="1"/>
      <c r="M72" s="1"/>
      <c r="N72" s="1"/>
      <c r="O72" s="1"/>
      <c r="P72" s="1"/>
      <c r="Q72" s="1"/>
      <c r="R72" s="1"/>
      <c r="S72" s="1"/>
      <c r="T72" s="1"/>
      <c r="U72" s="1"/>
    </row>
    <row r="73" spans="1:21">
      <c r="A73" s="1"/>
      <c r="B73" s="1"/>
      <c r="C73" s="1"/>
      <c r="D73" s="1"/>
      <c r="E73" s="1" t="s">
        <v>128</v>
      </c>
      <c r="F73" s="1"/>
      <c r="G73" s="1"/>
      <c r="H73" s="1"/>
      <c r="I73" s="1"/>
      <c r="J73" s="1"/>
      <c r="K73" s="1"/>
      <c r="M73" s="1"/>
      <c r="N73" s="1"/>
      <c r="O73" s="1"/>
      <c r="P73" s="1"/>
      <c r="Q73" s="1"/>
      <c r="R73" s="1"/>
      <c r="S73" s="1"/>
      <c r="T73" s="1"/>
      <c r="U73" s="1"/>
    </row>
    <row r="74" spans="1:21">
      <c r="A74" s="1">
        <v>0.86542857142857144</v>
      </c>
      <c r="B74" s="1">
        <v>0.28934817170111288</v>
      </c>
      <c r="C74" s="1" t="s">
        <v>128</v>
      </c>
      <c r="D74" s="1"/>
      <c r="E74" s="1" t="s">
        <v>128</v>
      </c>
      <c r="F74" s="1"/>
      <c r="G74" s="1"/>
      <c r="H74" s="1"/>
      <c r="I74" s="1"/>
      <c r="J74" s="1"/>
      <c r="K74" s="1"/>
      <c r="M74" s="1"/>
      <c r="N74" s="1"/>
      <c r="O74" s="1"/>
      <c r="P74" s="1"/>
      <c r="Q74" s="1"/>
      <c r="R74" s="1"/>
      <c r="S74" s="1"/>
      <c r="T74" s="1"/>
      <c r="U74" s="1"/>
    </row>
    <row r="75" spans="1:21">
      <c r="A75" s="1"/>
      <c r="B75" s="1"/>
      <c r="C75" s="1"/>
      <c r="D75" s="1"/>
      <c r="E75" s="1" t="s">
        <v>128</v>
      </c>
      <c r="F75" s="1"/>
      <c r="G75" s="1"/>
      <c r="H75" s="1"/>
      <c r="I75" s="1"/>
      <c r="J75" s="1"/>
      <c r="K75" s="1"/>
      <c r="M75" s="1"/>
      <c r="N75" s="1"/>
      <c r="O75" s="1"/>
      <c r="P75" s="1"/>
      <c r="Q75" s="1"/>
      <c r="R75" s="1"/>
      <c r="S75" s="1"/>
      <c r="T75" s="1"/>
      <c r="U75" s="1"/>
    </row>
    <row r="76" spans="1:21">
      <c r="A76" s="1">
        <v>0.27398516163222053</v>
      </c>
      <c r="B76" s="1" t="s">
        <v>167</v>
      </c>
      <c r="C76" s="1"/>
      <c r="D76" s="1"/>
      <c r="E76" s="1" t="s">
        <v>128</v>
      </c>
      <c r="F76" s="1"/>
      <c r="G76" s="1"/>
      <c r="H76" s="1"/>
      <c r="I76" s="1"/>
      <c r="J76" s="1"/>
      <c r="K76" s="1"/>
      <c r="M76" s="1"/>
      <c r="N76" s="1"/>
      <c r="O76" s="1"/>
      <c r="P76" s="1"/>
      <c r="Q76" s="1"/>
      <c r="R76" s="1"/>
      <c r="S76" s="1"/>
      <c r="T76" s="1"/>
      <c r="U76" s="1"/>
    </row>
    <row r="77" spans="1:2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M77" s="1"/>
      <c r="N77" s="1"/>
      <c r="O77" s="1"/>
      <c r="P77" s="1"/>
      <c r="Q77" s="1"/>
      <c r="R77" s="1"/>
      <c r="S77" s="1"/>
      <c r="T77" s="1"/>
      <c r="U77" s="1"/>
    </row>
    <row r="78" spans="1:2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M78" s="1"/>
      <c r="N78" s="1"/>
      <c r="O78" s="1"/>
      <c r="P78" s="1"/>
      <c r="Q78" s="1"/>
      <c r="R78" s="1"/>
      <c r="S78" s="1"/>
      <c r="T78" s="1"/>
      <c r="U78" s="1"/>
    </row>
    <row r="79" spans="1:21">
      <c r="A79" s="1"/>
      <c r="B79" s="1"/>
      <c r="C79" s="1"/>
      <c r="D79" s="1"/>
      <c r="E79" s="1"/>
      <c r="F79" s="1"/>
      <c r="G79" s="1">
        <v>1358</v>
      </c>
      <c r="H79" s="1" t="s">
        <v>158</v>
      </c>
      <c r="I79" s="1"/>
      <c r="J79" s="1"/>
      <c r="K79" s="1"/>
      <c r="M79" s="1"/>
      <c r="N79" s="1"/>
      <c r="O79" s="1"/>
      <c r="P79" s="1"/>
      <c r="Q79" s="1"/>
      <c r="R79" s="1"/>
      <c r="S79" s="1"/>
      <c r="T79" s="1"/>
      <c r="U79" s="1"/>
    </row>
    <row r="80" spans="1:2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M80" s="1"/>
      <c r="N80" s="1"/>
      <c r="O80" s="1"/>
      <c r="P80" s="1"/>
      <c r="Q80" s="1"/>
      <c r="R80" s="1"/>
      <c r="S80" s="1"/>
      <c r="T80" s="1"/>
      <c r="U80" s="1"/>
    </row>
    <row r="81" spans="1:21">
      <c r="A81" s="1"/>
      <c r="B81" s="1"/>
      <c r="C81" s="1"/>
      <c r="D81" s="1"/>
      <c r="E81" s="1"/>
      <c r="F81" s="1"/>
      <c r="G81" s="1">
        <v>2008.4761904761904</v>
      </c>
      <c r="H81" s="1" t="s">
        <v>158</v>
      </c>
      <c r="I81" s="1"/>
      <c r="J81" s="1"/>
      <c r="K81" s="1"/>
      <c r="M81" s="1"/>
      <c r="N81" s="1"/>
      <c r="O81" s="1"/>
      <c r="P81" s="1"/>
      <c r="Q81" s="1"/>
      <c r="R81" s="1"/>
      <c r="S81" s="1"/>
      <c r="T81" s="1"/>
      <c r="U81" s="1"/>
    </row>
    <row r="82" spans="1:2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M82" s="1"/>
      <c r="N82" s="1"/>
      <c r="O82" s="1"/>
      <c r="P82" s="1"/>
      <c r="Q82" s="1"/>
      <c r="R82" s="1"/>
      <c r="S82" s="1"/>
      <c r="T82" s="1"/>
      <c r="U82" s="1"/>
    </row>
    <row r="84" spans="1:21">
      <c r="D84">
        <f>B69+B70</f>
        <v>0.21476190476190476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G19"/>
  <sheetViews>
    <sheetView workbookViewId="0">
      <selection activeCell="B18" sqref="B18"/>
    </sheetView>
  </sheetViews>
  <sheetFormatPr defaultRowHeight="15"/>
  <sheetData>
    <row r="1" spans="1:7">
      <c r="B1" t="s">
        <v>86</v>
      </c>
    </row>
    <row r="2" spans="1:7">
      <c r="A2" t="s">
        <v>87</v>
      </c>
    </row>
    <row r="3" spans="1:7">
      <c r="A3">
        <v>94.6</v>
      </c>
      <c r="B3" t="s">
        <v>2</v>
      </c>
      <c r="C3" t="s">
        <v>63</v>
      </c>
      <c r="E3">
        <v>30</v>
      </c>
      <c r="F3" t="s">
        <v>1</v>
      </c>
    </row>
    <row r="4" spans="1:7">
      <c r="A4">
        <v>7.25</v>
      </c>
      <c r="B4" t="s">
        <v>2</v>
      </c>
      <c r="C4" t="s">
        <v>66</v>
      </c>
      <c r="D4">
        <v>9</v>
      </c>
      <c r="E4" t="s">
        <v>64</v>
      </c>
      <c r="F4">
        <v>12.76</v>
      </c>
      <c r="G4">
        <f>F4/D4</f>
        <v>1.4177777777777778</v>
      </c>
    </row>
    <row r="5" spans="1:7">
      <c r="D5">
        <v>21</v>
      </c>
      <c r="E5" t="s">
        <v>65</v>
      </c>
      <c r="F5">
        <v>57.86</v>
      </c>
      <c r="G5">
        <f>F5/D5</f>
        <v>2.755238095238095</v>
      </c>
    </row>
    <row r="6" spans="1:7">
      <c r="A6">
        <f>A3-A4</f>
        <v>87.35</v>
      </c>
      <c r="B6" t="s">
        <v>2</v>
      </c>
    </row>
    <row r="7" spans="1:7">
      <c r="C7">
        <f>F8/A6*100</f>
        <v>80.847166571265035</v>
      </c>
      <c r="F7" t="s">
        <v>61</v>
      </c>
    </row>
    <row r="8" spans="1:7">
      <c r="C8">
        <f>100-C7</f>
        <v>19.152833428734965</v>
      </c>
      <c r="D8" t="s">
        <v>84</v>
      </c>
      <c r="F8">
        <f>SUM(F4:F7)</f>
        <v>70.62</v>
      </c>
    </row>
    <row r="13" spans="1:7">
      <c r="F13" t="s">
        <v>90</v>
      </c>
    </row>
    <row r="14" spans="1:7">
      <c r="A14">
        <v>350</v>
      </c>
      <c r="B14">
        <f>A6*A14</f>
        <v>30572.499999999996</v>
      </c>
      <c r="C14" t="s">
        <v>88</v>
      </c>
      <c r="F14">
        <v>600</v>
      </c>
      <c r="G14">
        <f>F8*F14</f>
        <v>42372</v>
      </c>
    </row>
    <row r="15" spans="1:7">
      <c r="A15">
        <v>65</v>
      </c>
      <c r="B15">
        <f>A6*A15</f>
        <v>5677.75</v>
      </c>
      <c r="C15" t="s">
        <v>89</v>
      </c>
    </row>
    <row r="17" spans="2:6">
      <c r="B17">
        <f>SUM(B14:B16)</f>
        <v>36250.25</v>
      </c>
    </row>
    <row r="19" spans="2:6">
      <c r="E19">
        <f>G14-B17</f>
        <v>6121.75</v>
      </c>
      <c r="F19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32"/>
  <sheetViews>
    <sheetView workbookViewId="0">
      <selection activeCell="B4" sqref="B4:D18"/>
    </sheetView>
  </sheetViews>
  <sheetFormatPr defaultRowHeight="15"/>
  <cols>
    <col min="1" max="1" width="22.85546875" customWidth="1"/>
    <col min="2" max="2" width="13.140625" customWidth="1"/>
    <col min="3" max="4" width="11.28515625" customWidth="1"/>
    <col min="5" max="5" width="11.42578125" customWidth="1"/>
    <col min="6" max="6" width="13.42578125" customWidth="1"/>
    <col min="7" max="7" width="12.5703125" customWidth="1"/>
    <col min="9" max="9" width="31.5703125" customWidth="1"/>
  </cols>
  <sheetData>
    <row r="1" spans="1:7">
      <c r="B1" t="s">
        <v>67</v>
      </c>
      <c r="C1" t="s">
        <v>173</v>
      </c>
      <c r="E1">
        <v>10</v>
      </c>
      <c r="F1">
        <v>10</v>
      </c>
      <c r="G1">
        <v>10</v>
      </c>
    </row>
    <row r="2" spans="1:7">
      <c r="A2" t="s">
        <v>68</v>
      </c>
      <c r="B2" t="s">
        <v>170</v>
      </c>
      <c r="C2" t="s">
        <v>172</v>
      </c>
      <c r="D2" t="s">
        <v>71</v>
      </c>
      <c r="E2" t="s">
        <v>69</v>
      </c>
      <c r="F2" t="s">
        <v>70</v>
      </c>
      <c r="G2" t="s">
        <v>71</v>
      </c>
    </row>
    <row r="3" spans="1:7">
      <c r="B3" t="s">
        <v>171</v>
      </c>
      <c r="C3" s="40">
        <v>6</v>
      </c>
      <c r="D3">
        <v>30</v>
      </c>
      <c r="E3" t="s">
        <v>72</v>
      </c>
      <c r="F3" t="s">
        <v>72</v>
      </c>
      <c r="G3" t="s">
        <v>72</v>
      </c>
    </row>
    <row r="4" spans="1:7">
      <c r="A4" s="1" t="s">
        <v>73</v>
      </c>
      <c r="B4" s="1">
        <v>400</v>
      </c>
      <c r="C4" s="41">
        <f>B4*C3/100+B4</f>
        <v>424</v>
      </c>
      <c r="D4" s="1">
        <f>B4*D3/100+B4</f>
        <v>520</v>
      </c>
      <c r="E4" s="1" t="s">
        <v>74</v>
      </c>
      <c r="F4" s="1"/>
      <c r="G4" s="1"/>
    </row>
    <row r="5" spans="1:7">
      <c r="A5" s="1" t="s">
        <v>75</v>
      </c>
      <c r="B5" s="1">
        <v>600</v>
      </c>
      <c r="C5" s="41">
        <f>B5*C3/100+B5</f>
        <v>636</v>
      </c>
      <c r="D5" s="1">
        <f>B5*D3/100+B5</f>
        <v>780</v>
      </c>
      <c r="E5" s="1">
        <f>B5/E1</f>
        <v>60</v>
      </c>
      <c r="F5" s="1">
        <f>C5/F1</f>
        <v>63.6</v>
      </c>
      <c r="G5" s="1">
        <f>D5/G1</f>
        <v>78</v>
      </c>
    </row>
    <row r="6" spans="1:7">
      <c r="A6" s="77" t="s">
        <v>160</v>
      </c>
      <c r="B6" s="77">
        <v>2570</v>
      </c>
      <c r="C6" s="83">
        <f>B6*C3/100+B6</f>
        <v>2724.2</v>
      </c>
      <c r="D6" s="77">
        <f>B6*D3/100+B6</f>
        <v>3341</v>
      </c>
      <c r="E6" s="1" t="s">
        <v>74</v>
      </c>
      <c r="F6" s="1"/>
      <c r="G6" s="1"/>
    </row>
    <row r="7" spans="1:7">
      <c r="A7" s="77" t="s">
        <v>161</v>
      </c>
      <c r="B7" s="77">
        <v>3320</v>
      </c>
      <c r="C7" s="83">
        <f>B7*C3/100+B7</f>
        <v>3519.2</v>
      </c>
      <c r="D7" s="77">
        <f>B7*D3/100+B7</f>
        <v>4316</v>
      </c>
      <c r="E7" s="1">
        <f>B7/E1</f>
        <v>332</v>
      </c>
      <c r="F7" s="1">
        <f>C7/F1</f>
        <v>351.91999999999996</v>
      </c>
      <c r="G7" s="1">
        <f>D7/G1</f>
        <v>431.6</v>
      </c>
    </row>
    <row r="8" spans="1:7">
      <c r="A8" s="42" t="s">
        <v>162</v>
      </c>
      <c r="B8" s="1">
        <v>2000</v>
      </c>
      <c r="C8" s="1">
        <f>B8*C3/100+B8</f>
        <v>2120</v>
      </c>
      <c r="D8" s="1">
        <f>B8*D3/100+B8</f>
        <v>2600</v>
      </c>
      <c r="E8" s="1">
        <f>B8/E1</f>
        <v>200</v>
      </c>
      <c r="F8" s="1">
        <f>C8/F1</f>
        <v>212</v>
      </c>
      <c r="G8" s="1">
        <f>D8/G1</f>
        <v>260</v>
      </c>
    </row>
    <row r="9" spans="1:7">
      <c r="A9" s="37" t="s">
        <v>163</v>
      </c>
      <c r="B9" s="37">
        <v>2500</v>
      </c>
      <c r="C9">
        <f>B9*C3/100+B9</f>
        <v>2650</v>
      </c>
      <c r="D9">
        <f>B9*D3/100+B9</f>
        <v>3250</v>
      </c>
      <c r="E9" t="s">
        <v>74</v>
      </c>
    </row>
    <row r="10" spans="1:7">
      <c r="A10" s="37" t="s">
        <v>78</v>
      </c>
      <c r="B10" s="37">
        <v>1680</v>
      </c>
      <c r="C10">
        <f>B10*C3/100+B10</f>
        <v>1780.8</v>
      </c>
      <c r="D10">
        <f>B10*D3/100+B10</f>
        <v>2184</v>
      </c>
      <c r="E10" t="s">
        <v>74</v>
      </c>
    </row>
    <row r="11" spans="1:7">
      <c r="A11" s="42" t="s">
        <v>79</v>
      </c>
      <c r="B11" s="1">
        <v>80</v>
      </c>
      <c r="C11" s="41">
        <v>85</v>
      </c>
      <c r="D11" s="1">
        <v>150</v>
      </c>
      <c r="E11" s="1" t="s">
        <v>74</v>
      </c>
      <c r="F11" s="1"/>
      <c r="G11" s="1"/>
    </row>
    <row r="12" spans="1:7">
      <c r="A12" s="1" t="s">
        <v>80</v>
      </c>
      <c r="B12" s="1">
        <v>280</v>
      </c>
      <c r="C12" s="41">
        <v>280</v>
      </c>
      <c r="D12" s="1">
        <v>350</v>
      </c>
      <c r="E12" s="1" t="s">
        <v>74</v>
      </c>
      <c r="F12" s="1"/>
      <c r="G12" s="1"/>
    </row>
    <row r="13" spans="1:7">
      <c r="A13" s="1" t="s">
        <v>159</v>
      </c>
      <c r="B13" s="1">
        <v>180</v>
      </c>
      <c r="C13" s="41">
        <v>180</v>
      </c>
      <c r="D13" s="1">
        <v>200</v>
      </c>
      <c r="E13" s="1" t="s">
        <v>74</v>
      </c>
      <c r="F13" s="1"/>
      <c r="G13" s="1"/>
    </row>
    <row r="14" spans="1:7">
      <c r="A14" s="1" t="s">
        <v>81</v>
      </c>
      <c r="B14" s="1">
        <v>600</v>
      </c>
      <c r="C14" s="41">
        <v>600</v>
      </c>
      <c r="D14" s="1">
        <v>800</v>
      </c>
      <c r="E14" s="1" t="s">
        <v>74</v>
      </c>
      <c r="F14" s="1"/>
      <c r="G14" s="1"/>
    </row>
    <row r="15" spans="1:7">
      <c r="A15" s="37" t="s">
        <v>92</v>
      </c>
      <c r="D15" s="44">
        <v>700</v>
      </c>
      <c r="E15" s="1" t="s">
        <v>74</v>
      </c>
      <c r="F15" s="1"/>
      <c r="G15" s="1"/>
    </row>
    <row r="16" spans="1:7">
      <c r="A16" s="1" t="s">
        <v>82</v>
      </c>
      <c r="B16" s="1">
        <v>100</v>
      </c>
      <c r="C16" s="41">
        <f>B16*C3/100+B16</f>
        <v>106</v>
      </c>
      <c r="D16" s="1">
        <v>150</v>
      </c>
      <c r="E16" s="1" t="s">
        <v>74</v>
      </c>
      <c r="F16" s="1"/>
      <c r="G16" s="1"/>
    </row>
    <row r="17" spans="1:8">
      <c r="A17" s="1" t="s">
        <v>83</v>
      </c>
      <c r="B17" s="1"/>
      <c r="C17" s="41"/>
      <c r="D17" s="1">
        <v>290</v>
      </c>
      <c r="E17" s="1" t="s">
        <v>74</v>
      </c>
      <c r="F17" s="1"/>
      <c r="G17" s="1"/>
    </row>
    <row r="18" spans="1:8">
      <c r="A18" s="1" t="s">
        <v>85</v>
      </c>
      <c r="B18" s="1">
        <v>200</v>
      </c>
      <c r="C18" s="41">
        <v>215</v>
      </c>
      <c r="D18" s="1">
        <v>260</v>
      </c>
      <c r="E18" s="1" t="s">
        <v>74</v>
      </c>
      <c r="F18" s="1"/>
      <c r="G18" s="1"/>
    </row>
    <row r="19" spans="1:8">
      <c r="A19" s="1"/>
      <c r="B19" s="1"/>
      <c r="C19" s="41"/>
      <c r="D19" s="1"/>
      <c r="E19" s="1"/>
      <c r="F19" s="1"/>
      <c r="G19" s="1"/>
    </row>
    <row r="20" spans="1:8">
      <c r="A20" s="1"/>
      <c r="B20" s="1"/>
      <c r="C20" s="41"/>
      <c r="D20" s="1"/>
      <c r="E20" s="1"/>
      <c r="F20" s="1"/>
      <c r="G20" s="1"/>
    </row>
    <row r="21" spans="1:8">
      <c r="A21" s="1"/>
      <c r="B21" s="1"/>
      <c r="C21" s="41"/>
      <c r="D21" s="1"/>
      <c r="E21" s="1"/>
      <c r="F21" s="1"/>
      <c r="G21" s="1"/>
    </row>
    <row r="22" spans="1:8">
      <c r="A22" s="1"/>
      <c r="B22" s="1"/>
      <c r="C22" s="41"/>
      <c r="D22" s="1"/>
      <c r="E22" s="1"/>
      <c r="F22" s="1"/>
      <c r="G22" s="1"/>
    </row>
    <row r="23" spans="1:8">
      <c r="A23" s="1"/>
      <c r="B23" s="1"/>
      <c r="C23" s="41"/>
      <c r="D23" s="1"/>
      <c r="E23" s="1"/>
      <c r="F23" s="1"/>
      <c r="G23" s="1"/>
    </row>
    <row r="24" spans="1:8">
      <c r="A24" s="1"/>
      <c r="B24" s="1"/>
      <c r="C24" s="41"/>
      <c r="D24" s="1"/>
      <c r="E24" s="1"/>
      <c r="F24" s="1"/>
      <c r="G24" s="1"/>
    </row>
    <row r="25" spans="1:8">
      <c r="A25" s="1"/>
      <c r="B25" s="1"/>
      <c r="C25" s="41"/>
      <c r="D25" s="1"/>
      <c r="E25" s="1"/>
      <c r="F25" s="1"/>
      <c r="G25" s="1"/>
    </row>
    <row r="26" spans="1:8">
      <c r="A26" s="1"/>
      <c r="B26" s="1"/>
      <c r="C26" s="41"/>
      <c r="D26" s="1"/>
      <c r="E26" s="1"/>
      <c r="F26" s="1"/>
      <c r="G26" s="1"/>
    </row>
    <row r="27" spans="1:8">
      <c r="C27" s="43"/>
    </row>
    <row r="28" spans="1:8">
      <c r="A28" s="77" t="s">
        <v>144</v>
      </c>
      <c r="B28" s="1">
        <v>0.12472222222222223</v>
      </c>
      <c r="C28" s="1" t="s">
        <v>2</v>
      </c>
      <c r="D28" s="1">
        <v>4.6639659291575786</v>
      </c>
      <c r="E28" s="1" t="s">
        <v>128</v>
      </c>
      <c r="F28" s="1">
        <v>249.44444444444446</v>
      </c>
      <c r="G28" s="1">
        <v>2000</v>
      </c>
      <c r="H28">
        <v>2600</v>
      </c>
    </row>
    <row r="29" spans="1:8">
      <c r="A29" s="81" t="s">
        <v>76</v>
      </c>
      <c r="B29" s="81">
        <v>6.0000000000000005E-2</v>
      </c>
      <c r="C29" s="81" t="s">
        <v>2</v>
      </c>
      <c r="D29" s="81">
        <v>2.2436896229354941</v>
      </c>
      <c r="E29" s="81" t="s">
        <v>128</v>
      </c>
      <c r="F29" s="81">
        <v>154.20000000000002</v>
      </c>
      <c r="G29" s="81">
        <v>2570</v>
      </c>
      <c r="H29">
        <v>3341</v>
      </c>
    </row>
    <row r="30" spans="1:8">
      <c r="A30" s="81" t="s">
        <v>77</v>
      </c>
      <c r="B30" s="81">
        <v>0.12022222222222223</v>
      </c>
      <c r="C30" s="81" t="s">
        <v>2</v>
      </c>
      <c r="D30" s="81">
        <v>4.4956892074374162</v>
      </c>
      <c r="E30" s="81" t="s">
        <v>128</v>
      </c>
      <c r="F30" s="81">
        <v>399.13777777777779</v>
      </c>
      <c r="G30" s="81">
        <v>3320</v>
      </c>
      <c r="H30">
        <v>4316</v>
      </c>
    </row>
    <row r="31" spans="1:8">
      <c r="A31" s="42" t="s">
        <v>50</v>
      </c>
      <c r="B31" s="1">
        <v>1.5000000000000001E-2</v>
      </c>
      <c r="C31" s="1" t="s">
        <v>2</v>
      </c>
      <c r="D31" s="1">
        <v>0.56092240573387353</v>
      </c>
      <c r="E31" s="1" t="s">
        <v>128</v>
      </c>
      <c r="F31" s="1">
        <v>30.000000000000004</v>
      </c>
      <c r="G31" s="1">
        <v>2000</v>
      </c>
      <c r="H31">
        <v>2600</v>
      </c>
    </row>
    <row r="32" spans="1:8">
      <c r="A32" s="42" t="s">
        <v>130</v>
      </c>
      <c r="B32" s="1">
        <v>0.26088888888888889</v>
      </c>
      <c r="C32" s="1" t="s">
        <v>2</v>
      </c>
      <c r="D32" s="1">
        <v>9.7558948789861866</v>
      </c>
      <c r="E32" s="1" t="s">
        <v>128</v>
      </c>
      <c r="F32" s="1">
        <v>521.77777777777783</v>
      </c>
      <c r="G32" s="1">
        <v>2000</v>
      </c>
      <c r="H32">
        <v>2600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L31"/>
  <sheetViews>
    <sheetView tabSelected="1" workbookViewId="0">
      <selection sqref="A1:E23"/>
    </sheetView>
  </sheetViews>
  <sheetFormatPr defaultRowHeight="15"/>
  <cols>
    <col min="1" max="1" width="26.85546875" customWidth="1"/>
    <col min="2" max="2" width="15.5703125" customWidth="1"/>
    <col min="3" max="3" width="11" customWidth="1"/>
    <col min="4" max="4" width="11.5703125" customWidth="1"/>
    <col min="5" max="5" width="16.85546875" customWidth="1"/>
  </cols>
  <sheetData>
    <row r="1" spans="1:11" ht="15" customHeight="1">
      <c r="A1" s="120" t="s">
        <v>67</v>
      </c>
      <c r="B1" s="120"/>
      <c r="C1" s="120"/>
      <c r="D1" s="120"/>
      <c r="E1" s="120"/>
      <c r="F1" s="49"/>
      <c r="G1" s="49"/>
    </row>
    <row r="2" spans="1:11" ht="23.25" customHeight="1">
      <c r="A2" s="120"/>
      <c r="B2" s="120"/>
      <c r="C2" s="120"/>
      <c r="D2" s="120"/>
      <c r="E2" s="120"/>
      <c r="F2" s="49"/>
      <c r="G2" s="49"/>
    </row>
    <row r="3" spans="1:11">
      <c r="A3" s="120"/>
      <c r="B3" s="120"/>
      <c r="C3" s="120"/>
      <c r="D3" s="120"/>
      <c r="E3" s="120"/>
      <c r="F3" s="49"/>
      <c r="G3" s="49"/>
    </row>
    <row r="4" spans="1:11">
      <c r="A4" s="120"/>
      <c r="B4" s="120"/>
      <c r="C4" s="120"/>
      <c r="D4" s="120"/>
      <c r="E4" s="120"/>
      <c r="F4" s="49"/>
      <c r="G4" s="49"/>
    </row>
    <row r="5" spans="1:11">
      <c r="A5" s="120"/>
      <c r="B5" s="120"/>
      <c r="C5" s="120"/>
      <c r="D5" s="120"/>
      <c r="E5" s="120"/>
      <c r="F5" s="49"/>
      <c r="G5" s="49"/>
      <c r="H5" s="49"/>
    </row>
    <row r="6" spans="1:11" ht="15" customHeight="1">
      <c r="A6" s="120" t="s">
        <v>68</v>
      </c>
      <c r="B6" s="121" t="s">
        <v>174</v>
      </c>
      <c r="C6" s="121" t="s">
        <v>70</v>
      </c>
      <c r="D6" s="121" t="s">
        <v>175</v>
      </c>
      <c r="E6" s="122"/>
      <c r="F6" s="49"/>
      <c r="G6" s="49"/>
    </row>
    <row r="7" spans="1:11">
      <c r="A7" s="120"/>
      <c r="B7" s="121"/>
      <c r="C7" s="121"/>
      <c r="D7" s="121"/>
      <c r="E7" s="122"/>
      <c r="F7" s="49"/>
      <c r="G7" s="49"/>
    </row>
    <row r="8" spans="1:11">
      <c r="A8" s="120"/>
      <c r="B8" s="121"/>
      <c r="C8" s="121"/>
      <c r="D8" s="121"/>
      <c r="E8" s="122"/>
      <c r="F8" s="49"/>
      <c r="G8" s="49"/>
    </row>
    <row r="9" spans="1:11" ht="19.5" customHeight="1">
      <c r="A9" s="91" t="s">
        <v>73</v>
      </c>
      <c r="B9" s="86">
        <v>400</v>
      </c>
      <c r="C9" s="87">
        <v>424</v>
      </c>
      <c r="D9" s="86">
        <v>520</v>
      </c>
      <c r="E9" s="86" t="s">
        <v>74</v>
      </c>
      <c r="F9" s="49"/>
      <c r="G9" s="49"/>
    </row>
    <row r="10" spans="1:11" ht="21" customHeight="1">
      <c r="A10" s="91" t="s">
        <v>75</v>
      </c>
      <c r="B10" s="86">
        <v>600</v>
      </c>
      <c r="C10" s="87">
        <v>636</v>
      </c>
      <c r="D10" s="86">
        <v>780</v>
      </c>
      <c r="E10" s="86" t="s">
        <v>74</v>
      </c>
      <c r="F10" s="49"/>
      <c r="G10" s="49"/>
    </row>
    <row r="11" spans="1:11" ht="21" customHeight="1">
      <c r="A11" s="92" t="s">
        <v>160</v>
      </c>
      <c r="B11" s="88">
        <v>2570</v>
      </c>
      <c r="C11" s="89">
        <v>2724.2</v>
      </c>
      <c r="D11" s="88">
        <v>3341</v>
      </c>
      <c r="E11" s="86" t="s">
        <v>74</v>
      </c>
      <c r="F11" s="49"/>
      <c r="G11" s="49"/>
    </row>
    <row r="12" spans="1:11" ht="21" customHeight="1">
      <c r="A12" s="92" t="s">
        <v>161</v>
      </c>
      <c r="B12" s="88">
        <v>3320</v>
      </c>
      <c r="C12" s="89">
        <v>3519.2</v>
      </c>
      <c r="D12" s="88">
        <v>4316</v>
      </c>
      <c r="E12" s="86" t="s">
        <v>74</v>
      </c>
      <c r="F12" s="49"/>
      <c r="G12" s="49"/>
    </row>
    <row r="13" spans="1:11" ht="20.25" customHeight="1">
      <c r="A13" s="93" t="s">
        <v>162</v>
      </c>
      <c r="B13" s="86">
        <v>2000</v>
      </c>
      <c r="C13" s="86">
        <v>2120</v>
      </c>
      <c r="D13" s="86">
        <v>2600</v>
      </c>
      <c r="E13" s="86" t="s">
        <v>74</v>
      </c>
      <c r="F13" s="49"/>
      <c r="G13" s="49"/>
    </row>
    <row r="14" spans="1:11" ht="19.5" customHeight="1">
      <c r="A14" s="93" t="s">
        <v>163</v>
      </c>
      <c r="B14" s="90">
        <v>2500</v>
      </c>
      <c r="C14" s="86">
        <v>2650</v>
      </c>
      <c r="D14" s="86">
        <v>3250</v>
      </c>
      <c r="E14" s="86" t="s">
        <v>74</v>
      </c>
      <c r="F14" s="49"/>
      <c r="G14" s="49"/>
    </row>
    <row r="15" spans="1:11" ht="21" customHeight="1">
      <c r="A15" s="93" t="s">
        <v>78</v>
      </c>
      <c r="B15" s="90">
        <v>1680</v>
      </c>
      <c r="C15" s="86">
        <v>1780.8</v>
      </c>
      <c r="D15" s="86">
        <v>2184</v>
      </c>
      <c r="E15" s="86" t="s">
        <v>74</v>
      </c>
      <c r="F15" s="49"/>
      <c r="G15" s="49"/>
    </row>
    <row r="16" spans="1:11" ht="21" customHeight="1">
      <c r="A16" s="93" t="s">
        <v>79</v>
      </c>
      <c r="B16" s="86">
        <v>80</v>
      </c>
      <c r="C16" s="87">
        <v>85</v>
      </c>
      <c r="D16" s="86">
        <v>150</v>
      </c>
      <c r="E16" s="86" t="s">
        <v>74</v>
      </c>
      <c r="F16" s="49"/>
      <c r="G16" s="49"/>
      <c r="J16" s="49"/>
      <c r="K16" s="49"/>
    </row>
    <row r="17" spans="1:12" ht="20.25" customHeight="1">
      <c r="A17" s="91" t="s">
        <v>80</v>
      </c>
      <c r="B17" s="86">
        <v>280</v>
      </c>
      <c r="C17" s="87">
        <v>280</v>
      </c>
      <c r="D17" s="86">
        <v>350</v>
      </c>
      <c r="E17" s="86" t="s">
        <v>74</v>
      </c>
      <c r="F17" s="49"/>
      <c r="G17" s="49"/>
      <c r="J17" s="49"/>
    </row>
    <row r="18" spans="1:12" ht="20.25" customHeight="1">
      <c r="A18" s="91" t="s">
        <v>159</v>
      </c>
      <c r="B18" s="86">
        <v>180</v>
      </c>
      <c r="C18" s="87">
        <v>180</v>
      </c>
      <c r="D18" s="86">
        <v>200</v>
      </c>
      <c r="E18" s="86" t="s">
        <v>74</v>
      </c>
      <c r="F18" s="49"/>
      <c r="G18" s="49"/>
    </row>
    <row r="19" spans="1:12" ht="21" customHeight="1">
      <c r="A19" s="91" t="s">
        <v>81</v>
      </c>
      <c r="B19" s="86">
        <v>600</v>
      </c>
      <c r="C19" s="87">
        <v>600</v>
      </c>
      <c r="D19" s="86">
        <v>800</v>
      </c>
      <c r="E19" s="86" t="s">
        <v>74</v>
      </c>
      <c r="F19" s="49"/>
      <c r="G19" s="49"/>
    </row>
    <row r="20" spans="1:12" ht="20.25" customHeight="1">
      <c r="A20" s="93" t="s">
        <v>92</v>
      </c>
      <c r="B20" s="86"/>
      <c r="C20" s="86"/>
      <c r="D20" s="90">
        <v>700</v>
      </c>
      <c r="E20" s="86" t="s">
        <v>74</v>
      </c>
      <c r="F20" s="49"/>
      <c r="G20" s="49"/>
      <c r="L20" s="49"/>
    </row>
    <row r="21" spans="1:12" ht="20.25" customHeight="1">
      <c r="A21" s="91" t="s">
        <v>82</v>
      </c>
      <c r="B21" s="86">
        <v>100</v>
      </c>
      <c r="C21" s="87">
        <v>106</v>
      </c>
      <c r="D21" s="86">
        <v>150</v>
      </c>
      <c r="E21" s="86" t="s">
        <v>74</v>
      </c>
      <c r="F21" s="49"/>
      <c r="G21" s="49"/>
    </row>
    <row r="22" spans="1:12" ht="20.25" customHeight="1">
      <c r="A22" s="91" t="s">
        <v>83</v>
      </c>
      <c r="B22" s="86"/>
      <c r="C22" s="87"/>
      <c r="D22" s="86">
        <v>290</v>
      </c>
      <c r="E22" s="86" t="s">
        <v>74</v>
      </c>
      <c r="F22" s="49"/>
      <c r="G22" s="49"/>
    </row>
    <row r="23" spans="1:12" ht="18.75" customHeight="1">
      <c r="A23" s="91" t="s">
        <v>85</v>
      </c>
      <c r="B23" s="86">
        <v>200</v>
      </c>
      <c r="C23" s="87">
        <v>215</v>
      </c>
      <c r="D23" s="86">
        <v>260</v>
      </c>
      <c r="E23" s="86" t="s">
        <v>74</v>
      </c>
      <c r="F23" s="49"/>
      <c r="G23" s="49"/>
    </row>
    <row r="24" spans="1:12">
      <c r="A24" s="3"/>
      <c r="B24" s="3"/>
      <c r="C24" s="85"/>
      <c r="D24" s="3"/>
      <c r="E24" s="3"/>
      <c r="F24" s="49"/>
      <c r="G24" s="49"/>
    </row>
    <row r="25" spans="1:12">
      <c r="A25" s="49"/>
      <c r="B25" s="49"/>
      <c r="C25" s="84"/>
      <c r="D25" s="49"/>
      <c r="E25" s="49"/>
      <c r="F25" s="49"/>
      <c r="G25" s="49"/>
    </row>
    <row r="26" spans="1:12">
      <c r="A26" s="49"/>
      <c r="B26" s="49"/>
      <c r="C26" s="84"/>
      <c r="D26" s="49"/>
      <c r="E26" s="49"/>
      <c r="F26" s="49"/>
      <c r="G26" s="49"/>
      <c r="H26" s="49"/>
    </row>
    <row r="27" spans="1:12">
      <c r="A27" s="49"/>
      <c r="B27" s="49"/>
      <c r="C27" s="84"/>
      <c r="D27" s="49"/>
      <c r="E27" s="49"/>
      <c r="F27" s="49"/>
      <c r="G27" s="49"/>
    </row>
    <row r="28" spans="1:12">
      <c r="A28" s="49"/>
      <c r="B28" s="49"/>
      <c r="C28" s="84"/>
      <c r="D28" s="49"/>
      <c r="E28" s="49"/>
      <c r="F28" s="49"/>
      <c r="G28" s="49"/>
    </row>
    <row r="29" spans="1:12">
      <c r="A29" s="49"/>
      <c r="B29" s="49"/>
      <c r="C29" s="84"/>
      <c r="D29" s="49"/>
      <c r="E29" s="49"/>
      <c r="F29" s="49"/>
      <c r="G29" s="49"/>
    </row>
    <row r="30" spans="1:12">
      <c r="A30" s="49"/>
      <c r="B30" s="49"/>
      <c r="C30" s="84"/>
      <c r="D30" s="49"/>
      <c r="E30" s="49"/>
      <c r="F30" s="49"/>
      <c r="G30" s="49"/>
    </row>
    <row r="31" spans="1:12">
      <c r="A31" s="49"/>
      <c r="B31" s="49"/>
      <c r="C31" s="49"/>
      <c r="D31" s="49"/>
      <c r="E31" s="49"/>
      <c r="F31" s="49"/>
      <c r="G31" s="49"/>
    </row>
  </sheetData>
  <mergeCells count="6">
    <mergeCell ref="A1:E5"/>
    <mergeCell ref="A6:A8"/>
    <mergeCell ref="B6:B8"/>
    <mergeCell ref="C6:C8"/>
    <mergeCell ref="D6:D8"/>
    <mergeCell ref="E6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расчет рентабельности</vt:lpstr>
      <vt:lpstr>расчет отпускной цены</vt:lpstr>
      <vt:lpstr>прайс</vt:lpstr>
      <vt:lpstr>прайс для сайта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Oleg1</dc:creator>
  <cp:lastModifiedBy>Oleg</cp:lastModifiedBy>
  <cp:lastPrinted>2017-12-15T08:30:33Z</cp:lastPrinted>
  <dcterms:created xsi:type="dcterms:W3CDTF">2017-11-16T09:17:54Z</dcterms:created>
  <dcterms:modified xsi:type="dcterms:W3CDTF">2017-12-16T05:57:11Z</dcterms:modified>
</cp:coreProperties>
</file>